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O:\Clerk\Elections\2024\Presidential Primary - MAR 2024\"/>
    </mc:Choice>
  </mc:AlternateContent>
  <xr:revisionPtr revIDLastSave="0" documentId="8_{58DCEF71-43C7-4959-B868-37B810E6E95D}" xr6:coauthVersionLast="36" xr6:coauthVersionMax="36" xr10:uidLastSave="{00000000-0000-0000-0000-000000000000}"/>
  <bookViews>
    <workbookView xWindow="0" yWindow="0" windowWidth="24720" windowHeight="11625" xr2:uid="{00000000-000D-0000-FFFF-FFFF00000000}"/>
  </bookViews>
  <sheets>
    <sheet name="Sheet1" sheetId="1" r:id="rId1"/>
  </sheets>
  <definedNames>
    <definedName name="_xlnm.Print_Area" localSheetId="0">Sheet1!$A$1:$T$141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0" i="1" l="1"/>
  <c r="B159" i="1"/>
  <c r="B158" i="1"/>
  <c r="B157" i="1"/>
  <c r="B156" i="1"/>
  <c r="B155" i="1"/>
  <c r="B150" i="1"/>
  <c r="Q124" i="1" l="1"/>
  <c r="Q122" i="1"/>
  <c r="Q121" i="1"/>
  <c r="Q119" i="1"/>
  <c r="Q118" i="1"/>
  <c r="Q117" i="1"/>
  <c r="Q116" i="1"/>
  <c r="Q115" i="1"/>
  <c r="Q113" i="1"/>
  <c r="Q112" i="1"/>
  <c r="Q110" i="1"/>
  <c r="Q109" i="1"/>
  <c r="Q108" i="1"/>
  <c r="Q107" i="1"/>
  <c r="Q106" i="1"/>
  <c r="Q105" i="1"/>
  <c r="Q103" i="1"/>
  <c r="Q102" i="1"/>
  <c r="Q101" i="1"/>
  <c r="Q100" i="1"/>
  <c r="Q92" i="1"/>
  <c r="Q86" i="1"/>
  <c r="Q77" i="1"/>
  <c r="Q39" i="1"/>
  <c r="Q37" i="1"/>
  <c r="Q36" i="1"/>
  <c r="Q35" i="1"/>
  <c r="Q34" i="1"/>
  <c r="Q33" i="1"/>
  <c r="Q32" i="1"/>
  <c r="Q31" i="1"/>
  <c r="Q25" i="1"/>
  <c r="Q19" i="1"/>
  <c r="Q12" i="1"/>
  <c r="Q11" i="1"/>
  <c r="Q10" i="1"/>
  <c r="N124" i="1"/>
  <c r="N112" i="1"/>
  <c r="N93" i="1"/>
  <c r="N86" i="1"/>
  <c r="N77" i="1"/>
  <c r="N39" i="1"/>
  <c r="N37" i="1"/>
  <c r="N36" i="1"/>
  <c r="N35" i="1"/>
  <c r="N34" i="1"/>
  <c r="N33" i="1"/>
  <c r="N32" i="1"/>
  <c r="N31" i="1"/>
  <c r="N25" i="1"/>
  <c r="N19" i="1"/>
  <c r="N12" i="1"/>
  <c r="N11" i="1"/>
  <c r="K124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6" i="1"/>
  <c r="K93" i="1"/>
  <c r="K92" i="1"/>
  <c r="K88" i="1"/>
  <c r="K86" i="1"/>
  <c r="K80" i="1"/>
  <c r="K79" i="1"/>
  <c r="K77" i="1"/>
  <c r="K39" i="1"/>
  <c r="K37" i="1"/>
  <c r="K36" i="1"/>
  <c r="K35" i="1"/>
  <c r="K34" i="1"/>
  <c r="K33" i="1"/>
  <c r="K32" i="1"/>
  <c r="K31" i="1"/>
  <c r="K27" i="1"/>
  <c r="K25" i="1"/>
  <c r="K21" i="1"/>
  <c r="K19" i="1"/>
  <c r="K13" i="1"/>
  <c r="K11" i="1"/>
  <c r="H124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6" i="1"/>
  <c r="H94" i="1"/>
  <c r="H92" i="1"/>
  <c r="H88" i="1"/>
  <c r="H86" i="1"/>
  <c r="H79" i="1"/>
  <c r="H77" i="1"/>
  <c r="H39" i="1"/>
  <c r="H37" i="1"/>
  <c r="H36" i="1"/>
  <c r="H35" i="1"/>
  <c r="H34" i="1"/>
  <c r="H33" i="1"/>
  <c r="H32" i="1"/>
  <c r="H31" i="1"/>
  <c r="H25" i="1"/>
  <c r="H19" i="1"/>
  <c r="H11" i="1"/>
  <c r="E124" i="1"/>
  <c r="E122" i="1"/>
  <c r="E121" i="1"/>
  <c r="E118" i="1"/>
  <c r="E117" i="1"/>
  <c r="E116" i="1"/>
  <c r="E115" i="1"/>
  <c r="E114" i="1"/>
  <c r="E112" i="1"/>
  <c r="E109" i="1"/>
  <c r="E108" i="1"/>
  <c r="E107" i="1"/>
  <c r="E105" i="1"/>
  <c r="E102" i="1"/>
  <c r="E96" i="1"/>
  <c r="E92" i="1"/>
  <c r="E88" i="1"/>
  <c r="E86" i="1"/>
  <c r="E79" i="1"/>
  <c r="E77" i="1"/>
  <c r="E39" i="1"/>
  <c r="E37" i="1"/>
  <c r="E36" i="1"/>
  <c r="E35" i="1"/>
  <c r="E34" i="1"/>
  <c r="E33" i="1"/>
  <c r="E32" i="1"/>
  <c r="E31" i="1"/>
  <c r="E27" i="1"/>
  <c r="E25" i="1"/>
  <c r="E21" i="1"/>
  <c r="E19" i="1"/>
  <c r="E11" i="1"/>
  <c r="B114" i="1"/>
  <c r="B124" i="1"/>
  <c r="B122" i="1"/>
  <c r="B121" i="1"/>
  <c r="B120" i="1"/>
  <c r="B119" i="1"/>
  <c r="B118" i="1"/>
  <c r="B117" i="1"/>
  <c r="B116" i="1"/>
  <c r="B115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6" i="1"/>
  <c r="B86" i="1"/>
  <c r="B77" i="1"/>
  <c r="B39" i="1"/>
  <c r="B37" i="1"/>
  <c r="B36" i="1"/>
  <c r="B35" i="1"/>
  <c r="B34" i="1"/>
  <c r="B33" i="1"/>
  <c r="B32" i="1"/>
  <c r="B31" i="1"/>
  <c r="B27" i="1"/>
  <c r="B25" i="1"/>
  <c r="B21" i="1"/>
  <c r="B19" i="1"/>
  <c r="B13" i="1"/>
  <c r="B11" i="1"/>
  <c r="B10" i="1"/>
  <c r="O39" i="1"/>
  <c r="O25" i="1"/>
  <c r="O19" i="1"/>
  <c r="O13" i="1"/>
  <c r="O27" i="1"/>
  <c r="O21" i="1"/>
  <c r="O11" i="1"/>
  <c r="C39" i="1"/>
  <c r="C37" i="1"/>
  <c r="C36" i="1"/>
  <c r="C35" i="1"/>
  <c r="C34" i="1"/>
  <c r="C33" i="1"/>
  <c r="C32" i="1"/>
  <c r="C31" i="1"/>
  <c r="C25" i="1"/>
  <c r="C19" i="1"/>
  <c r="C11" i="1"/>
  <c r="C124" i="1"/>
  <c r="C96" i="1"/>
  <c r="C88" i="1"/>
  <c r="C79" i="1"/>
  <c r="R124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3" i="1"/>
  <c r="R86" i="1"/>
  <c r="R80" i="1"/>
  <c r="R39" i="1"/>
  <c r="R37" i="1"/>
  <c r="R36" i="1"/>
  <c r="R35" i="1"/>
  <c r="R34" i="1"/>
  <c r="R33" i="1"/>
  <c r="R32" i="1"/>
  <c r="R31" i="1"/>
  <c r="R27" i="1"/>
  <c r="R25" i="1"/>
  <c r="R21" i="1"/>
  <c r="R19" i="1"/>
  <c r="R11" i="1"/>
  <c r="R15" i="1"/>
  <c r="R14" i="1"/>
  <c r="O124" i="1"/>
  <c r="O122" i="1"/>
  <c r="O121" i="1"/>
  <c r="O117" i="1"/>
  <c r="O116" i="1"/>
  <c r="O111" i="1"/>
  <c r="O109" i="1"/>
  <c r="O107" i="1"/>
  <c r="O102" i="1"/>
  <c r="O92" i="1"/>
  <c r="O86" i="1"/>
  <c r="O77" i="1"/>
  <c r="O37" i="1"/>
  <c r="O36" i="1"/>
  <c r="O35" i="1"/>
  <c r="O34" i="1"/>
  <c r="O33" i="1"/>
  <c r="O32" i="1"/>
  <c r="O31" i="1"/>
  <c r="L124" i="1"/>
  <c r="L122" i="1"/>
  <c r="L121" i="1"/>
  <c r="L119" i="1"/>
  <c r="L117" i="1"/>
  <c r="L116" i="1"/>
  <c r="L112" i="1"/>
  <c r="L110" i="1"/>
  <c r="L109" i="1"/>
  <c r="L107" i="1"/>
  <c r="L106" i="1"/>
  <c r="L105" i="1"/>
  <c r="L103" i="1"/>
  <c r="L102" i="1"/>
  <c r="L101" i="1"/>
  <c r="L93" i="1"/>
  <c r="L86" i="1"/>
  <c r="L79" i="1"/>
  <c r="I39" i="1"/>
  <c r="I37" i="1"/>
  <c r="I36" i="1"/>
  <c r="I35" i="1"/>
  <c r="I34" i="1"/>
  <c r="I33" i="1"/>
  <c r="I32" i="1"/>
  <c r="I31" i="1"/>
  <c r="I25" i="1"/>
  <c r="I19" i="1"/>
  <c r="I11" i="1"/>
  <c r="I124" i="1"/>
  <c r="I123" i="1"/>
  <c r="I96" i="1"/>
  <c r="I95" i="1"/>
  <c r="I88" i="1"/>
  <c r="I87" i="1"/>
  <c r="I15" i="1"/>
  <c r="I14" i="1"/>
  <c r="F39" i="1"/>
  <c r="F37" i="1"/>
  <c r="F36" i="1"/>
  <c r="F35" i="1"/>
  <c r="F34" i="1"/>
  <c r="F33" i="1"/>
  <c r="F32" i="1"/>
  <c r="F31" i="1"/>
  <c r="F25" i="1"/>
  <c r="F19" i="1"/>
  <c r="F11" i="1"/>
  <c r="C102" i="1"/>
  <c r="C95" i="1"/>
  <c r="C86" i="1"/>
  <c r="C77" i="1"/>
  <c r="C52" i="1"/>
  <c r="C51" i="1"/>
  <c r="Q27" i="1"/>
  <c r="Q123" i="1"/>
  <c r="Q62" i="1"/>
  <c r="Q61" i="1"/>
  <c r="N67" i="1"/>
  <c r="N62" i="1"/>
  <c r="N57" i="1"/>
  <c r="N51" i="1"/>
  <c r="N21" i="1"/>
  <c r="N14" i="1"/>
  <c r="N88" i="1"/>
  <c r="N87" i="1"/>
  <c r="K20" i="1"/>
  <c r="H12" i="1"/>
  <c r="H62" i="1"/>
  <c r="H61" i="1"/>
  <c r="H57" i="1"/>
  <c r="H56" i="1"/>
  <c r="E120" i="1"/>
  <c r="E119" i="1"/>
  <c r="E113" i="1"/>
  <c r="E111" i="1"/>
  <c r="E110" i="1"/>
  <c r="E106" i="1"/>
  <c r="E104" i="1"/>
  <c r="E103" i="1"/>
  <c r="E101" i="1"/>
  <c r="E100" i="1"/>
  <c r="E93" i="1"/>
  <c r="E15" i="1"/>
  <c r="E87" i="1"/>
  <c r="E26" i="1"/>
  <c r="E14" i="1"/>
  <c r="B123" i="1"/>
  <c r="B93" i="1"/>
  <c r="B79" i="1"/>
  <c r="B73" i="1"/>
  <c r="B26" i="1"/>
  <c r="B15" i="1"/>
  <c r="B14" i="1"/>
  <c r="B148" i="1" l="1"/>
  <c r="R125" i="1"/>
  <c r="Q120" i="1"/>
  <c r="Q114" i="1"/>
  <c r="Q111" i="1"/>
  <c r="Q104" i="1"/>
  <c r="Q125" i="1"/>
  <c r="O120" i="1"/>
  <c r="O119" i="1"/>
  <c r="O118" i="1"/>
  <c r="O115" i="1"/>
  <c r="O114" i="1"/>
  <c r="O113" i="1"/>
  <c r="O112" i="1"/>
  <c r="O110" i="1"/>
  <c r="O108" i="1"/>
  <c r="O106" i="1"/>
  <c r="O105" i="1"/>
  <c r="O104" i="1"/>
  <c r="O103" i="1"/>
  <c r="O101" i="1"/>
  <c r="O100" i="1"/>
  <c r="O125" i="1" s="1"/>
  <c r="N122" i="1"/>
  <c r="N121" i="1"/>
  <c r="N120" i="1"/>
  <c r="N119" i="1"/>
  <c r="N118" i="1"/>
  <c r="N117" i="1"/>
  <c r="N116" i="1"/>
  <c r="N115" i="1"/>
  <c r="N114" i="1"/>
  <c r="N113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125" i="1" s="1"/>
  <c r="L120" i="1"/>
  <c r="L118" i="1"/>
  <c r="L115" i="1"/>
  <c r="L114" i="1"/>
  <c r="L113" i="1"/>
  <c r="L111" i="1"/>
  <c r="L108" i="1"/>
  <c r="L104" i="1"/>
  <c r="L100" i="1"/>
  <c r="L125" i="1" s="1"/>
  <c r="K125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125" i="1" s="1"/>
  <c r="H125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6" i="1"/>
  <c r="F105" i="1"/>
  <c r="F104" i="1"/>
  <c r="F107" i="1"/>
  <c r="F103" i="1"/>
  <c r="F102" i="1"/>
  <c r="F101" i="1"/>
  <c r="F100" i="1"/>
  <c r="E125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1" i="1"/>
  <c r="C100" i="1"/>
  <c r="B125" i="1"/>
  <c r="M27" i="1"/>
  <c r="M26" i="1"/>
  <c r="M25" i="1"/>
  <c r="L37" i="1"/>
  <c r="L36" i="1"/>
  <c r="L35" i="1"/>
  <c r="L34" i="1"/>
  <c r="L33" i="1"/>
  <c r="L32" i="1"/>
  <c r="L31" i="1"/>
  <c r="C125" i="1" l="1"/>
  <c r="M125" i="1"/>
  <c r="D125" i="1"/>
  <c r="J125" i="1"/>
  <c r="S125" i="1"/>
  <c r="P125" i="1"/>
  <c r="F125" i="1"/>
  <c r="G125" i="1" s="1"/>
  <c r="R97" i="1"/>
  <c r="R89" i="1"/>
  <c r="R83" i="1"/>
  <c r="S81" i="1"/>
  <c r="R28" i="1"/>
  <c r="R22" i="1"/>
  <c r="O97" i="1"/>
  <c r="O89" i="1"/>
  <c r="O83" i="1"/>
  <c r="P81" i="1"/>
  <c r="O28" i="1"/>
  <c r="O22" i="1"/>
  <c r="L97" i="1"/>
  <c r="L89" i="1"/>
  <c r="L83" i="1"/>
  <c r="M81" i="1"/>
  <c r="M39" i="1"/>
  <c r="L28" i="1"/>
  <c r="L22" i="1"/>
  <c r="I97" i="1"/>
  <c r="I89" i="1"/>
  <c r="I83" i="1"/>
  <c r="J81" i="1"/>
  <c r="I28" i="1"/>
  <c r="I22" i="1"/>
  <c r="F97" i="1"/>
  <c r="F89" i="1"/>
  <c r="F83" i="1"/>
  <c r="G81" i="1"/>
  <c r="F28" i="1"/>
  <c r="F22" i="1"/>
  <c r="C97" i="1"/>
  <c r="C89" i="1"/>
  <c r="C83" i="1"/>
  <c r="D81" i="1"/>
  <c r="C28" i="1"/>
  <c r="C22" i="1"/>
  <c r="Q97" i="1"/>
  <c r="Q89" i="1"/>
  <c r="Q83" i="1"/>
  <c r="Q28" i="1"/>
  <c r="Q22" i="1"/>
  <c r="N97" i="1"/>
  <c r="N89" i="1"/>
  <c r="N83" i="1"/>
  <c r="N28" i="1"/>
  <c r="N22" i="1"/>
  <c r="K97" i="1"/>
  <c r="K89" i="1"/>
  <c r="K83" i="1"/>
  <c r="M38" i="1"/>
  <c r="M37" i="1"/>
  <c r="M36" i="1"/>
  <c r="M35" i="1"/>
  <c r="M34" i="1"/>
  <c r="M33" i="1"/>
  <c r="M32" i="1"/>
  <c r="M31" i="1"/>
  <c r="K28" i="1"/>
  <c r="M28" i="1"/>
  <c r="K22" i="1"/>
  <c r="H97" i="1"/>
  <c r="H89" i="1"/>
  <c r="H28" i="1"/>
  <c r="H22" i="1"/>
  <c r="E97" i="1"/>
  <c r="E89" i="1"/>
  <c r="E83" i="1"/>
  <c r="E28" i="1"/>
  <c r="E22" i="1"/>
  <c r="T125" i="1" l="1"/>
  <c r="T81" i="1"/>
  <c r="B97" i="1"/>
  <c r="B89" i="1"/>
  <c r="B83" i="1"/>
  <c r="B28" i="1"/>
  <c r="B22" i="1"/>
  <c r="R68" i="1"/>
  <c r="Q68" i="1"/>
  <c r="O68" i="1"/>
  <c r="N68" i="1"/>
  <c r="L68" i="1"/>
  <c r="K68" i="1"/>
  <c r="I68" i="1"/>
  <c r="H68" i="1"/>
  <c r="F68" i="1"/>
  <c r="E68" i="1"/>
  <c r="C68" i="1"/>
  <c r="B68" i="1"/>
  <c r="S68" i="1" l="1"/>
  <c r="S67" i="1"/>
  <c r="S66" i="1"/>
  <c r="S62" i="1"/>
  <c r="S61" i="1"/>
  <c r="S57" i="1"/>
  <c r="S56" i="1"/>
  <c r="S52" i="1"/>
  <c r="S51" i="1"/>
  <c r="S50" i="1"/>
  <c r="S49" i="1"/>
  <c r="S48" i="1"/>
  <c r="S47" i="1"/>
  <c r="S46" i="1"/>
  <c r="S4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6" i="1"/>
  <c r="S95" i="1"/>
  <c r="S94" i="1"/>
  <c r="S93" i="1"/>
  <c r="S92" i="1"/>
  <c r="S88" i="1"/>
  <c r="S87" i="1"/>
  <c r="S86" i="1"/>
  <c r="S82" i="1"/>
  <c r="S80" i="1"/>
  <c r="S79" i="1"/>
  <c r="S78" i="1"/>
  <c r="S77" i="1"/>
  <c r="S76" i="1"/>
  <c r="S75" i="1"/>
  <c r="S74" i="1"/>
  <c r="S73" i="1"/>
  <c r="S39" i="1"/>
  <c r="S38" i="1"/>
  <c r="S37" i="1"/>
  <c r="S36" i="1"/>
  <c r="S35" i="1"/>
  <c r="S34" i="1"/>
  <c r="S33" i="1"/>
  <c r="S32" i="1"/>
  <c r="S31" i="1"/>
  <c r="S27" i="1"/>
  <c r="S26" i="1"/>
  <c r="S25" i="1"/>
  <c r="S21" i="1"/>
  <c r="S20" i="1"/>
  <c r="S19" i="1"/>
  <c r="P68" i="1"/>
  <c r="P67" i="1"/>
  <c r="P66" i="1"/>
  <c r="P62" i="1"/>
  <c r="P61" i="1"/>
  <c r="P57" i="1"/>
  <c r="P56" i="1"/>
  <c r="P52" i="1"/>
  <c r="P51" i="1"/>
  <c r="P50" i="1"/>
  <c r="P49" i="1"/>
  <c r="P48" i="1"/>
  <c r="P47" i="1"/>
  <c r="P46" i="1"/>
  <c r="P4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6" i="1"/>
  <c r="P95" i="1"/>
  <c r="P94" i="1"/>
  <c r="P93" i="1"/>
  <c r="P92" i="1"/>
  <c r="P88" i="1"/>
  <c r="P87" i="1"/>
  <c r="P86" i="1"/>
  <c r="P82" i="1"/>
  <c r="P80" i="1"/>
  <c r="P79" i="1"/>
  <c r="P78" i="1"/>
  <c r="P77" i="1"/>
  <c r="P76" i="1"/>
  <c r="P75" i="1"/>
  <c r="P74" i="1"/>
  <c r="P73" i="1"/>
  <c r="P39" i="1"/>
  <c r="P38" i="1"/>
  <c r="P37" i="1"/>
  <c r="P36" i="1"/>
  <c r="P35" i="1"/>
  <c r="P34" i="1"/>
  <c r="P33" i="1"/>
  <c r="P32" i="1"/>
  <c r="P31" i="1"/>
  <c r="P27" i="1"/>
  <c r="P26" i="1"/>
  <c r="P25" i="1"/>
  <c r="P21" i="1"/>
  <c r="P20" i="1"/>
  <c r="P19" i="1"/>
  <c r="M68" i="1"/>
  <c r="M67" i="1"/>
  <c r="M66" i="1"/>
  <c r="M62" i="1"/>
  <c r="M61" i="1"/>
  <c r="M57" i="1"/>
  <c r="M56" i="1"/>
  <c r="M51" i="1"/>
  <c r="M50" i="1"/>
  <c r="M49" i="1"/>
  <c r="M48" i="1"/>
  <c r="M47" i="1"/>
  <c r="M46" i="1"/>
  <c r="M4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6" i="1"/>
  <c r="M95" i="1"/>
  <c r="M94" i="1"/>
  <c r="M93" i="1"/>
  <c r="M92" i="1"/>
  <c r="M88" i="1"/>
  <c r="M87" i="1"/>
  <c r="M86" i="1"/>
  <c r="M82" i="1"/>
  <c r="M80" i="1"/>
  <c r="M79" i="1"/>
  <c r="M78" i="1"/>
  <c r="M77" i="1"/>
  <c r="M76" i="1"/>
  <c r="M75" i="1"/>
  <c r="M74" i="1"/>
  <c r="M73" i="1"/>
  <c r="M21" i="1"/>
  <c r="M20" i="1"/>
  <c r="M19" i="1"/>
  <c r="J68" i="1"/>
  <c r="J67" i="1"/>
  <c r="J66" i="1"/>
  <c r="J62" i="1"/>
  <c r="J61" i="1"/>
  <c r="J57" i="1"/>
  <c r="J56" i="1"/>
  <c r="J52" i="1"/>
  <c r="J51" i="1"/>
  <c r="J50" i="1"/>
  <c r="J49" i="1"/>
  <c r="J48" i="1"/>
  <c r="J47" i="1"/>
  <c r="J46" i="1"/>
  <c r="J45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6" i="1"/>
  <c r="J95" i="1"/>
  <c r="J94" i="1"/>
  <c r="J93" i="1"/>
  <c r="J92" i="1"/>
  <c r="J88" i="1"/>
  <c r="J87" i="1"/>
  <c r="J86" i="1"/>
  <c r="J82" i="1"/>
  <c r="J80" i="1"/>
  <c r="J79" i="1"/>
  <c r="J78" i="1"/>
  <c r="J77" i="1"/>
  <c r="J76" i="1"/>
  <c r="J75" i="1"/>
  <c r="J74" i="1"/>
  <c r="J73" i="1"/>
  <c r="J39" i="1"/>
  <c r="J38" i="1"/>
  <c r="J37" i="1"/>
  <c r="J36" i="1"/>
  <c r="J35" i="1"/>
  <c r="J34" i="1"/>
  <c r="J33" i="1"/>
  <c r="J32" i="1"/>
  <c r="J31" i="1"/>
  <c r="J27" i="1"/>
  <c r="J26" i="1"/>
  <c r="J25" i="1"/>
  <c r="J21" i="1"/>
  <c r="J20" i="1"/>
  <c r="J19" i="1"/>
  <c r="G68" i="1"/>
  <c r="G67" i="1"/>
  <c r="G66" i="1"/>
  <c r="G62" i="1"/>
  <c r="G61" i="1"/>
  <c r="G57" i="1"/>
  <c r="G56" i="1"/>
  <c r="G52" i="1"/>
  <c r="G51" i="1"/>
  <c r="G50" i="1"/>
  <c r="G49" i="1"/>
  <c r="G48" i="1"/>
  <c r="G47" i="1"/>
  <c r="G46" i="1"/>
  <c r="G4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6" i="1"/>
  <c r="G95" i="1"/>
  <c r="G94" i="1"/>
  <c r="G93" i="1"/>
  <c r="G92" i="1"/>
  <c r="G88" i="1"/>
  <c r="G87" i="1"/>
  <c r="G86" i="1"/>
  <c r="G82" i="1"/>
  <c r="G80" i="1"/>
  <c r="G79" i="1"/>
  <c r="G78" i="1"/>
  <c r="G77" i="1"/>
  <c r="G76" i="1"/>
  <c r="G75" i="1"/>
  <c r="G74" i="1"/>
  <c r="G73" i="1"/>
  <c r="G39" i="1"/>
  <c r="G38" i="1"/>
  <c r="G37" i="1"/>
  <c r="G36" i="1"/>
  <c r="G35" i="1"/>
  <c r="G34" i="1"/>
  <c r="G33" i="1"/>
  <c r="G32" i="1"/>
  <c r="G31" i="1"/>
  <c r="G27" i="1"/>
  <c r="G26" i="1"/>
  <c r="G25" i="1"/>
  <c r="G21" i="1"/>
  <c r="G20" i="1"/>
  <c r="G19" i="1"/>
  <c r="D68" i="1"/>
  <c r="D67" i="1"/>
  <c r="D66" i="1"/>
  <c r="D62" i="1"/>
  <c r="D61" i="1"/>
  <c r="D57" i="1"/>
  <c r="D56" i="1"/>
  <c r="D52" i="1"/>
  <c r="D51" i="1"/>
  <c r="D50" i="1"/>
  <c r="D49" i="1"/>
  <c r="D48" i="1"/>
  <c r="D47" i="1"/>
  <c r="D46" i="1"/>
  <c r="D4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6" i="1"/>
  <c r="D95" i="1"/>
  <c r="D94" i="1"/>
  <c r="D93" i="1"/>
  <c r="D92" i="1"/>
  <c r="D88" i="1"/>
  <c r="D87" i="1"/>
  <c r="D86" i="1"/>
  <c r="D82" i="1"/>
  <c r="D80" i="1"/>
  <c r="D79" i="1"/>
  <c r="D78" i="1"/>
  <c r="D77" i="1"/>
  <c r="D76" i="1"/>
  <c r="D75" i="1"/>
  <c r="D74" i="1"/>
  <c r="D73" i="1"/>
  <c r="D39" i="1"/>
  <c r="D38" i="1"/>
  <c r="D37" i="1"/>
  <c r="D36" i="1"/>
  <c r="D35" i="1"/>
  <c r="D34" i="1"/>
  <c r="D33" i="1"/>
  <c r="D32" i="1"/>
  <c r="D31" i="1"/>
  <c r="D27" i="1"/>
  <c r="D26" i="1"/>
  <c r="D25" i="1"/>
  <c r="D21" i="1"/>
  <c r="D20" i="1"/>
  <c r="D19" i="1"/>
  <c r="T65" i="1"/>
  <c r="S15" i="1"/>
  <c r="S14" i="1"/>
  <c r="S13" i="1"/>
  <c r="S12" i="1"/>
  <c r="S11" i="1"/>
  <c r="S10" i="1"/>
  <c r="P15" i="1"/>
  <c r="P14" i="1"/>
  <c r="P13" i="1"/>
  <c r="P12" i="1"/>
  <c r="P11" i="1"/>
  <c r="P10" i="1"/>
  <c r="M15" i="1"/>
  <c r="M14" i="1"/>
  <c r="M13" i="1"/>
  <c r="M12" i="1"/>
  <c r="M11" i="1"/>
  <c r="M10" i="1"/>
  <c r="J15" i="1"/>
  <c r="J14" i="1"/>
  <c r="J13" i="1"/>
  <c r="J12" i="1"/>
  <c r="J11" i="1"/>
  <c r="J10" i="1"/>
  <c r="G15" i="1"/>
  <c r="G14" i="1"/>
  <c r="G13" i="1"/>
  <c r="G12" i="1"/>
  <c r="G11" i="1"/>
  <c r="G10" i="1"/>
  <c r="H16" i="1"/>
  <c r="F16" i="1"/>
  <c r="E16" i="1"/>
  <c r="C16" i="1"/>
  <c r="B16" i="1"/>
  <c r="D15" i="1"/>
  <c r="D14" i="1"/>
  <c r="D13" i="1"/>
  <c r="D12" i="1"/>
  <c r="D11" i="1"/>
  <c r="D10" i="1"/>
  <c r="T37" i="1" l="1"/>
  <c r="T105" i="1"/>
  <c r="T15" i="1"/>
  <c r="T10" i="1"/>
  <c r="T12" i="1"/>
  <c r="T11" i="1"/>
  <c r="T13" i="1"/>
  <c r="T14" i="1"/>
  <c r="T74" i="1"/>
  <c r="T66" i="1"/>
  <c r="T61" i="1"/>
  <c r="T62" i="1"/>
  <c r="T56" i="1"/>
  <c r="T50" i="1"/>
  <c r="T121" i="1"/>
  <c r="T122" i="1"/>
  <c r="T112" i="1"/>
  <c r="T106" i="1"/>
  <c r="T114" i="1"/>
  <c r="T123" i="1"/>
  <c r="T120" i="1"/>
  <c r="T119" i="1"/>
  <c r="T113" i="1"/>
  <c r="T111" i="1"/>
  <c r="T104" i="1"/>
  <c r="T103" i="1"/>
  <c r="T93" i="1"/>
  <c r="T95" i="1"/>
  <c r="T94" i="1"/>
  <c r="T96" i="1"/>
  <c r="T88" i="1"/>
  <c r="T87" i="1"/>
  <c r="T77" i="1"/>
  <c r="T79" i="1"/>
  <c r="T78" i="1"/>
  <c r="T36" i="1"/>
  <c r="T31" i="1"/>
  <c r="T39" i="1"/>
  <c r="T38" i="1"/>
  <c r="T32" i="1"/>
  <c r="T27" i="1"/>
  <c r="T25" i="1"/>
  <c r="T26" i="1"/>
  <c r="T20" i="1"/>
  <c r="T21" i="1"/>
  <c r="T68" i="1"/>
  <c r="T57" i="1"/>
  <c r="T47" i="1"/>
  <c r="T48" i="1"/>
  <c r="T49" i="1"/>
  <c r="T115" i="1"/>
  <c r="T107" i="1"/>
  <c r="T75" i="1"/>
  <c r="T100" i="1"/>
  <c r="T108" i="1"/>
  <c r="T116" i="1"/>
  <c r="T124" i="1"/>
  <c r="T101" i="1"/>
  <c r="T67" i="1"/>
  <c r="T51" i="1"/>
  <c r="T46" i="1"/>
  <c r="T109" i="1"/>
  <c r="T117" i="1"/>
  <c r="T80" i="1"/>
  <c r="T82" i="1"/>
  <c r="T73" i="1"/>
  <c r="T33" i="1"/>
  <c r="T34" i="1"/>
  <c r="T102" i="1"/>
  <c r="T110" i="1"/>
  <c r="T118" i="1"/>
  <c r="T35" i="1"/>
  <c r="T52" i="1"/>
  <c r="T45" i="1"/>
  <c r="T92" i="1"/>
  <c r="T86" i="1"/>
  <c r="T76" i="1"/>
  <c r="T19" i="1"/>
  <c r="D16" i="1"/>
  <c r="G16" i="1"/>
  <c r="I16" i="1"/>
  <c r="J16" i="1" s="1"/>
  <c r="R16" i="1"/>
  <c r="Q16" i="1"/>
  <c r="O16" i="1"/>
  <c r="N16" i="1"/>
  <c r="L16" i="1"/>
  <c r="K16" i="1"/>
  <c r="M16" i="1" l="1"/>
  <c r="P16" i="1"/>
  <c r="S16" i="1"/>
  <c r="C53" i="1"/>
  <c r="B53" i="1"/>
  <c r="T16" i="1" l="1"/>
  <c r="D53" i="1"/>
  <c r="C40" i="1"/>
  <c r="E40" i="1"/>
  <c r="F40" i="1"/>
  <c r="H40" i="1"/>
  <c r="I40" i="1"/>
  <c r="K40" i="1"/>
  <c r="L40" i="1"/>
  <c r="N40" i="1"/>
  <c r="O40" i="1"/>
  <c r="Q40" i="1"/>
  <c r="R40" i="1"/>
  <c r="B40" i="1"/>
  <c r="G40" i="1" l="1"/>
  <c r="J40" i="1"/>
  <c r="D40" i="1"/>
  <c r="S40" i="1"/>
  <c r="P40" i="1"/>
  <c r="M40" i="1"/>
  <c r="S28" i="1"/>
  <c r="P28" i="1"/>
  <c r="J28" i="1"/>
  <c r="G28" i="1"/>
  <c r="D28" i="1"/>
  <c r="T134" i="1"/>
  <c r="T40" i="1" l="1"/>
  <c r="T28" i="1"/>
  <c r="R53" i="1"/>
  <c r="Q53" i="1"/>
  <c r="O53" i="1"/>
  <c r="N53" i="1"/>
  <c r="L53" i="1"/>
  <c r="K53" i="1"/>
  <c r="I53" i="1"/>
  <c r="H53" i="1"/>
  <c r="F53" i="1"/>
  <c r="E53" i="1"/>
  <c r="S53" i="1" l="1"/>
  <c r="P53" i="1"/>
  <c r="M53" i="1"/>
  <c r="J53" i="1"/>
  <c r="G53" i="1"/>
  <c r="T53" i="1" l="1"/>
  <c r="R63" i="1"/>
  <c r="Q63" i="1"/>
  <c r="O63" i="1"/>
  <c r="N63" i="1"/>
  <c r="L63" i="1"/>
  <c r="K63" i="1"/>
  <c r="I63" i="1"/>
  <c r="H63" i="1"/>
  <c r="F63" i="1"/>
  <c r="E63" i="1"/>
  <c r="C63" i="1"/>
  <c r="B63" i="1"/>
  <c r="R58" i="1"/>
  <c r="Q58" i="1"/>
  <c r="O58" i="1"/>
  <c r="N58" i="1"/>
  <c r="L58" i="1"/>
  <c r="K58" i="1"/>
  <c r="I58" i="1"/>
  <c r="H58" i="1"/>
  <c r="F58" i="1"/>
  <c r="E58" i="1"/>
  <c r="C58" i="1"/>
  <c r="B58" i="1"/>
  <c r="S89" i="1"/>
  <c r="P89" i="1"/>
  <c r="J89" i="1"/>
  <c r="G89" i="1"/>
  <c r="H83" i="1"/>
  <c r="G83" i="1"/>
  <c r="P22" i="1"/>
  <c r="D22" i="1"/>
  <c r="T131" i="1"/>
  <c r="T130" i="1"/>
  <c r="S63" i="1" l="1"/>
  <c r="P63" i="1"/>
  <c r="M63" i="1"/>
  <c r="J63" i="1"/>
  <c r="G63" i="1"/>
  <c r="D63" i="1"/>
  <c r="S58" i="1"/>
  <c r="P58" i="1"/>
  <c r="M58" i="1"/>
  <c r="J58" i="1"/>
  <c r="G58" i="1"/>
  <c r="D58" i="1"/>
  <c r="S97" i="1"/>
  <c r="P97" i="1"/>
  <c r="M97" i="1"/>
  <c r="J97" i="1"/>
  <c r="G97" i="1"/>
  <c r="D97" i="1"/>
  <c r="M89" i="1"/>
  <c r="D89" i="1"/>
  <c r="S83" i="1"/>
  <c r="P83" i="1"/>
  <c r="M83" i="1"/>
  <c r="J83" i="1"/>
  <c r="D83" i="1"/>
  <c r="S22" i="1"/>
  <c r="M22" i="1"/>
  <c r="J22" i="1"/>
  <c r="G22" i="1"/>
  <c r="T63" i="1" l="1"/>
  <c r="T58" i="1"/>
  <c r="T97" i="1"/>
  <c r="T89" i="1"/>
  <c r="T83" i="1"/>
  <c r="T22" i="1"/>
  <c r="T137" i="1"/>
  <c r="T138" i="1"/>
  <c r="T141" i="1"/>
</calcChain>
</file>

<file path=xl/sharedStrings.xml><?xml version="1.0" encoding="utf-8"?>
<sst xmlns="http://schemas.openxmlformats.org/spreadsheetml/2006/main" count="453" uniqueCount="111">
  <si>
    <t>PRESIDENTIAL PRIMARY ELECTION</t>
  </si>
  <si>
    <t>Town of Duxbury</t>
  </si>
  <si>
    <t>Steele Building, 130 Saint George Street</t>
  </si>
  <si>
    <t>DEMOCRATIC PARTY</t>
  </si>
  <si>
    <t>Pr 1 in person</t>
  </si>
  <si>
    <t>Pr 1 EV</t>
  </si>
  <si>
    <t>PR 1 Total</t>
  </si>
  <si>
    <t>Pr 2 in person</t>
  </si>
  <si>
    <t>Pr 2 EV</t>
  </si>
  <si>
    <t>PR 2 Total</t>
  </si>
  <si>
    <t>Pr 3 in person</t>
  </si>
  <si>
    <t>Pr 3 EV</t>
  </si>
  <si>
    <t>PR 3 Total</t>
  </si>
  <si>
    <t>Pr 4 in person</t>
  </si>
  <si>
    <t>Pr 4 EV</t>
  </si>
  <si>
    <t>PR 4 Total</t>
  </si>
  <si>
    <t>Pr 5 in person</t>
  </si>
  <si>
    <t>Pr 5 EV</t>
  </si>
  <si>
    <t>PR 5 Total</t>
  </si>
  <si>
    <t>Pr 6 in person</t>
  </si>
  <si>
    <t>Pr 6 EV</t>
  </si>
  <si>
    <t>PR 6 Total</t>
  </si>
  <si>
    <t>Total</t>
  </si>
  <si>
    <t>Presidential Preference</t>
  </si>
  <si>
    <t xml:space="preserve"> </t>
  </si>
  <si>
    <t>DEAN PHILLIPS</t>
  </si>
  <si>
    <t>JOSEPH R BIDEN</t>
  </si>
  <si>
    <t>MARIANNE WILLIAMSON</t>
  </si>
  <si>
    <t>NO PREFERENCE</t>
  </si>
  <si>
    <t xml:space="preserve">Write-in </t>
  </si>
  <si>
    <t>Blanks</t>
  </si>
  <si>
    <t>Totals</t>
  </si>
  <si>
    <t>State Committee Man</t>
  </si>
  <si>
    <t>CHRIS MATTHEWS</t>
  </si>
  <si>
    <t xml:space="preserve">Write-ins </t>
  </si>
  <si>
    <t>State Committee Woman</t>
  </si>
  <si>
    <t>REBECCA ANN SHERLOCK-SHANGRAW</t>
  </si>
  <si>
    <t>Democratic Town Committee</t>
  </si>
  <si>
    <t>NANCY ELIZABETH LANDGREN</t>
  </si>
  <si>
    <t>NANCY C MELIA</t>
  </si>
  <si>
    <t>MARIE VANCE HOY</t>
  </si>
  <si>
    <t>MARY PAT DODGE</t>
  </si>
  <si>
    <t>MARY ELIZABETH LAMPERT</t>
  </si>
  <si>
    <t>JAMES B LAMPERT</t>
  </si>
  <si>
    <t>SARIE L BOOY</t>
  </si>
  <si>
    <t>LIBERTARIAN PARTY</t>
  </si>
  <si>
    <t>Pr2 EV</t>
  </si>
  <si>
    <t>JACOB GEORGE HORNBERGER</t>
  </si>
  <si>
    <t>MICHAEL D RECTENWALD</t>
  </si>
  <si>
    <t>CHASE RUSSELL OLIVER</t>
  </si>
  <si>
    <t>MICHAEL TER MAAT</t>
  </si>
  <si>
    <t>LARS DAMIAN MAPSTEAD</t>
  </si>
  <si>
    <t>Write-ins</t>
  </si>
  <si>
    <t>Libertarian Town Committee</t>
  </si>
  <si>
    <t>REPUBLICAN PARTY</t>
  </si>
  <si>
    <t>CHRIS CHRISTIE</t>
  </si>
  <si>
    <t>RYAN BINKLEY</t>
  </si>
  <si>
    <t>VIVEK RAMASWAMY</t>
  </si>
  <si>
    <t>ASA HUTCHINSON</t>
  </si>
  <si>
    <t>DONALD J TRUMP</t>
  </si>
  <si>
    <t>RON DESANTIS</t>
  </si>
  <si>
    <t>NIKKI HALEY</t>
  </si>
  <si>
    <t>Write-in</t>
  </si>
  <si>
    <t>DAVID F DECOSTE</t>
  </si>
  <si>
    <t>JANET R FOGARTY</t>
  </si>
  <si>
    <t>KRISTEN G ARUTE</t>
  </si>
  <si>
    <t>LYNNE SANTANGELO</t>
  </si>
  <si>
    <t>Republican Town Committee</t>
  </si>
  <si>
    <t>JOHN F DARGIN, III</t>
  </si>
  <si>
    <t>ELIZABETH A DARGIN</t>
  </si>
  <si>
    <t>ABIGAIL R FORREST</t>
  </si>
  <si>
    <t>DIANE L MONAGHAN</t>
  </si>
  <si>
    <t>JEFFREY LAWRENCE SCHOFIELD</t>
  </si>
  <si>
    <t>LYNNE C WALSH</t>
  </si>
  <si>
    <t>SUSAN E SCHOFIELD</t>
  </si>
  <si>
    <t>LYNNE A GREENWOOD</t>
  </si>
  <si>
    <t>LEONARD MARINACCIO</t>
  </si>
  <si>
    <t>ELIZABETH ANN CONNELL</t>
  </si>
  <si>
    <t>MARY BETH HEMPEL</t>
  </si>
  <si>
    <t>WALTER T HEMPEL, II</t>
  </si>
  <si>
    <t>DONNA JEAN PINEAU</t>
  </si>
  <si>
    <t>JAMES H MONAGHAN</t>
  </si>
  <si>
    <t>FREDERICK G BARRY, JR</t>
  </si>
  <si>
    <t>PAUL LEO DESMOND</t>
  </si>
  <si>
    <t>LAUREN ELIZABETH FEENEY</t>
  </si>
  <si>
    <t>PATRICIA A HORNE</t>
  </si>
  <si>
    <t>PHILIP M CHRUSZ</t>
  </si>
  <si>
    <t>IRENE NORA SCHELLINGS</t>
  </si>
  <si>
    <t>JOSEPH ANTHONY SCHELLINGS</t>
  </si>
  <si>
    <t>KATHRYN M BARRY</t>
  </si>
  <si>
    <t>GISELA R CAHILL</t>
  </si>
  <si>
    <t>Absentee Ballots</t>
  </si>
  <si>
    <t>Pr 1</t>
  </si>
  <si>
    <t>Pr 2</t>
  </si>
  <si>
    <t>Pr 3</t>
  </si>
  <si>
    <t>Pr 4</t>
  </si>
  <si>
    <t>Pr 5</t>
  </si>
  <si>
    <t>Pr 6</t>
  </si>
  <si>
    <t>Ballots Requested</t>
  </si>
  <si>
    <t>Ballots Voted</t>
  </si>
  <si>
    <t>UOCAVA voted</t>
  </si>
  <si>
    <t>Early Voting By Mail</t>
  </si>
  <si>
    <t>Early Voting Ballots Requested</t>
  </si>
  <si>
    <t>Early Voting Ballots Returned</t>
  </si>
  <si>
    <t>Early Voting in Person</t>
  </si>
  <si>
    <t>Democrat</t>
  </si>
  <si>
    <t>Libertarian</t>
  </si>
  <si>
    <t>Republican</t>
  </si>
  <si>
    <t>Total Ballots cast</t>
  </si>
  <si>
    <t>Percent turnout</t>
  </si>
  <si>
    <t>OFFICIAL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</si>
</sst>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[$-F800]dddd\,\ mmmm\ dd\,\ yyyy"/>
  </numFmts>
  <fonts count="5" x14ac:knownFonts="1">
    <font>
      <sz val="11"/>
      <color theme="1"/>
      <name val="Calibri"/>
      <family val="2"/>
      <scheme val="minor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E34B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/>
    <xf numFmtId="0" fontId="2" fillId="0" borderId="2" xfId="0" applyFont="1" applyBorder="1" applyAlignment="1">
      <alignment horizontal="center" wrapText="1"/>
    </xf>
    <xf numFmtId="0" fontId="1" fillId="0" borderId="0" xfId="0" applyFont="1" applyFill="1" applyBorder="1"/>
    <xf numFmtId="0" fontId="2" fillId="0" borderId="0" xfId="0" applyFont="1" applyBorder="1"/>
    <xf numFmtId="0" fontId="1" fillId="0" borderId="0" xfId="0" applyFont="1" applyFill="1" applyBorder="1" applyAlignment="1"/>
    <xf numFmtId="0" fontId="1" fillId="2" borderId="3" xfId="0" applyFont="1" applyFill="1" applyBorder="1"/>
    <xf numFmtId="0" fontId="2" fillId="0" borderId="2" xfId="0" applyFont="1" applyBorder="1"/>
    <xf numFmtId="0" fontId="1" fillId="2" borderId="1" xfId="0" applyFont="1" applyFill="1" applyBorder="1"/>
    <xf numFmtId="0" fontId="1" fillId="2" borderId="2" xfId="0" applyFont="1" applyFill="1" applyBorder="1"/>
    <xf numFmtId="0" fontId="4" fillId="0" borderId="0" xfId="0" applyFont="1" applyBorder="1"/>
    <xf numFmtId="0" fontId="4" fillId="0" borderId="0" xfId="0" applyFont="1" applyFill="1" applyBorder="1"/>
    <xf numFmtId="0" fontId="4" fillId="2" borderId="6" xfId="0" applyFont="1" applyFill="1" applyBorder="1"/>
    <xf numFmtId="0" fontId="1" fillId="2" borderId="6" xfId="0" applyFont="1" applyFill="1" applyBorder="1"/>
    <xf numFmtId="0" fontId="2" fillId="0" borderId="6" xfId="0" applyFont="1" applyBorder="1"/>
    <xf numFmtId="0" fontId="1" fillId="0" borderId="6" xfId="0" applyFont="1" applyBorder="1"/>
    <xf numFmtId="0" fontId="2" fillId="2" borderId="6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/>
    </xf>
    <xf numFmtId="0" fontId="1" fillId="0" borderId="6" xfId="0" applyFont="1" applyFill="1" applyBorder="1"/>
    <xf numFmtId="0" fontId="2" fillId="0" borderId="6" xfId="0" applyFont="1" applyFill="1" applyBorder="1"/>
    <xf numFmtId="0" fontId="1" fillId="0" borderId="7" xfId="0" applyFont="1" applyFill="1" applyBorder="1"/>
    <xf numFmtId="0" fontId="1" fillId="0" borderId="7" xfId="0" applyFont="1" applyBorder="1"/>
    <xf numFmtId="0" fontId="2" fillId="5" borderId="8" xfId="0" applyFont="1" applyFill="1" applyBorder="1" applyAlignment="1"/>
    <xf numFmtId="0" fontId="3" fillId="0" borderId="9" xfId="0" applyFont="1" applyFill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2" borderId="1" xfId="0" applyFont="1" applyFill="1" applyBorder="1"/>
    <xf numFmtId="0" fontId="2" fillId="0" borderId="1" xfId="0" applyFont="1" applyBorder="1"/>
    <xf numFmtId="0" fontId="1" fillId="0" borderId="1" xfId="0" applyFont="1" applyBorder="1"/>
    <xf numFmtId="0" fontId="2" fillId="0" borderId="1" xfId="0" applyFont="1" applyFill="1" applyBorder="1"/>
    <xf numFmtId="0" fontId="1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0" fontId="1" fillId="2" borderId="7" xfId="0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0" fontId="2" fillId="4" borderId="8" xfId="0" applyFont="1" applyFill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3" borderId="8" xfId="0" applyFont="1" applyFill="1" applyBorder="1"/>
    <xf numFmtId="0" fontId="2" fillId="2" borderId="5" xfId="0" applyFont="1" applyFill="1" applyBorder="1"/>
    <xf numFmtId="0" fontId="2" fillId="2" borderId="4" xfId="0" applyFont="1" applyFill="1" applyBorder="1" applyAlignment="1">
      <alignment horizontal="center" wrapText="1"/>
    </xf>
    <xf numFmtId="0" fontId="4" fillId="0" borderId="6" xfId="0" applyFont="1" applyBorder="1"/>
    <xf numFmtId="0" fontId="3" fillId="0" borderId="8" xfId="0" applyFont="1" applyBorder="1"/>
    <xf numFmtId="0" fontId="4" fillId="2" borderId="9" xfId="0" applyFont="1" applyFill="1" applyBorder="1"/>
    <xf numFmtId="0" fontId="3" fillId="2" borderId="9" xfId="0" applyFont="1" applyFill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2" borderId="9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wrapText="1"/>
    </xf>
    <xf numFmtId="0" fontId="3" fillId="0" borderId="10" xfId="0" applyFont="1" applyBorder="1" applyAlignment="1">
      <alignment horizontal="center"/>
    </xf>
    <xf numFmtId="0" fontId="4" fillId="0" borderId="1" xfId="0" applyFont="1" applyBorder="1"/>
    <xf numFmtId="0" fontId="4" fillId="0" borderId="5" xfId="0" applyFont="1" applyBorder="1"/>
    <xf numFmtId="0" fontId="2" fillId="0" borderId="4" xfId="0" applyFont="1" applyBorder="1"/>
    <xf numFmtId="0" fontId="1" fillId="2" borderId="9" xfId="0" applyFont="1" applyFill="1" applyBorder="1"/>
    <xf numFmtId="0" fontId="3" fillId="0" borderId="5" xfId="0" applyFont="1" applyBorder="1"/>
    <xf numFmtId="0" fontId="4" fillId="0" borderId="6" xfId="0" applyFont="1" applyFill="1" applyBorder="1"/>
    <xf numFmtId="0" fontId="3" fillId="0" borderId="2" xfId="0" applyFont="1" applyBorder="1"/>
    <xf numFmtId="0" fontId="4" fillId="2" borderId="7" xfId="0" applyFont="1" applyFill="1" applyBorder="1"/>
    <xf numFmtId="0" fontId="4" fillId="0" borderId="7" xfId="0" applyFont="1" applyBorder="1"/>
    <xf numFmtId="0" fontId="4" fillId="0" borderId="7" xfId="0" applyFont="1" applyFill="1" applyBorder="1"/>
    <xf numFmtId="0" fontId="3" fillId="0" borderId="4" xfId="0" applyFont="1" applyBorder="1"/>
    <xf numFmtId="0" fontId="2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34B85"/>
      <color rgb="FFD82267"/>
      <color rgb="FF9999FF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160"/>
  <sheetViews>
    <sheetView tabSelected="1" workbookViewId="0">
      <selection activeCell="W7" sqref="W7"/>
    </sheetView>
  </sheetViews>
  <sheetFormatPr defaultColWidth="9.140625" defaultRowHeight="18.75" x14ac:dyDescent="0.3"/>
  <cols>
    <col min="1" max="1" width="52.28515625" style="1" bestFit="1" customWidth="1"/>
    <col min="2" max="2" width="9.140625" style="4" hidden="1" customWidth="1"/>
    <col min="3" max="3" width="9.140625" style="1" hidden="1" customWidth="1"/>
    <col min="4" max="4" width="9.140625" style="1" customWidth="1"/>
    <col min="5" max="6" width="9.140625" style="1" hidden="1" customWidth="1"/>
    <col min="7" max="7" width="9.140625" style="1" customWidth="1"/>
    <col min="8" max="9" width="9.140625" style="1" hidden="1" customWidth="1"/>
    <col min="10" max="10" width="9.85546875" style="4" customWidth="1"/>
    <col min="11" max="12" width="9.140625" style="1" hidden="1" customWidth="1"/>
    <col min="13" max="13" width="9.140625" style="1" customWidth="1"/>
    <col min="14" max="15" width="9.140625" style="1" hidden="1" customWidth="1"/>
    <col min="16" max="16" width="9.140625" style="1" customWidth="1"/>
    <col min="17" max="18" width="9.140625" style="1" hidden="1" customWidth="1"/>
    <col min="19" max="19" width="9.140625" style="1" customWidth="1"/>
    <col min="20" max="20" width="11.140625" style="1" customWidth="1"/>
    <col min="21" max="16384" width="9.140625" style="1"/>
  </cols>
  <sheetData>
    <row r="1" spans="1:20" ht="21" customHeight="1" x14ac:dyDescent="0.3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20" ht="15.75" customHeight="1" x14ac:dyDescent="0.3">
      <c r="A2" s="63">
        <v>45356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3" spans="1:20" x14ac:dyDescent="0.3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</row>
    <row r="4" spans="1:20" x14ac:dyDescent="0.3">
      <c r="A4" s="64" t="s">
        <v>2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</row>
    <row r="5" spans="1:20" x14ac:dyDescent="0.3">
      <c r="A5" s="65" t="s">
        <v>110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</row>
    <row r="6" spans="1:20" ht="19.5" thickBot="1" x14ac:dyDescent="0.35">
      <c r="A6" s="2"/>
      <c r="B6" s="6"/>
      <c r="C6" s="2"/>
      <c r="D6" s="2"/>
      <c r="E6" s="2"/>
      <c r="F6" s="2"/>
      <c r="G6" s="2"/>
      <c r="H6" s="2"/>
      <c r="I6" s="2"/>
      <c r="J6" s="6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32.25" x14ac:dyDescent="0.3">
      <c r="A7" s="23" t="s">
        <v>3</v>
      </c>
      <c r="B7" s="24" t="s">
        <v>4</v>
      </c>
      <c r="C7" s="25" t="s">
        <v>5</v>
      </c>
      <c r="D7" s="25" t="s">
        <v>6</v>
      </c>
      <c r="E7" s="25" t="s">
        <v>7</v>
      </c>
      <c r="F7" s="25" t="s">
        <v>8</v>
      </c>
      <c r="G7" s="25" t="s">
        <v>9</v>
      </c>
      <c r="H7" s="25" t="s">
        <v>10</v>
      </c>
      <c r="I7" s="25" t="s">
        <v>11</v>
      </c>
      <c r="J7" s="24" t="s">
        <v>12</v>
      </c>
      <c r="K7" s="25" t="s">
        <v>13</v>
      </c>
      <c r="L7" s="25" t="s">
        <v>14</v>
      </c>
      <c r="M7" s="25" t="s">
        <v>15</v>
      </c>
      <c r="N7" s="25" t="s">
        <v>16</v>
      </c>
      <c r="O7" s="25" t="s">
        <v>17</v>
      </c>
      <c r="P7" s="25" t="s">
        <v>18</v>
      </c>
      <c r="Q7" s="25" t="s">
        <v>19</v>
      </c>
      <c r="R7" s="25" t="s">
        <v>20</v>
      </c>
      <c r="S7" s="25" t="s">
        <v>21</v>
      </c>
      <c r="T7" s="26" t="s">
        <v>22</v>
      </c>
    </row>
    <row r="8" spans="1:20" ht="7.5" customHeight="1" x14ac:dyDescent="0.3">
      <c r="A8" s="27"/>
      <c r="B8" s="17"/>
      <c r="C8" s="17"/>
      <c r="D8" s="17"/>
      <c r="E8" s="17"/>
      <c r="F8" s="17"/>
      <c r="G8" s="17"/>
      <c r="H8" s="17"/>
      <c r="I8" s="17"/>
      <c r="J8" s="17"/>
      <c r="K8" s="18"/>
      <c r="L8" s="14"/>
      <c r="M8" s="14"/>
      <c r="N8" s="14"/>
      <c r="O8" s="14"/>
      <c r="P8" s="14"/>
      <c r="Q8" s="14"/>
      <c r="R8" s="14"/>
      <c r="S8" s="14"/>
      <c r="T8" s="10"/>
    </row>
    <row r="9" spans="1:20" x14ac:dyDescent="0.3">
      <c r="A9" s="28" t="s">
        <v>23</v>
      </c>
      <c r="B9" s="19" t="s">
        <v>24</v>
      </c>
      <c r="C9" s="16" t="s">
        <v>24</v>
      </c>
      <c r="D9" s="16" t="s">
        <v>24</v>
      </c>
      <c r="E9" s="16" t="s">
        <v>24</v>
      </c>
      <c r="F9" s="16" t="s">
        <v>24</v>
      </c>
      <c r="G9" s="16" t="s">
        <v>24</v>
      </c>
      <c r="H9" s="16" t="s">
        <v>24</v>
      </c>
      <c r="I9" s="16" t="s">
        <v>24</v>
      </c>
      <c r="J9" s="19" t="s">
        <v>24</v>
      </c>
      <c r="K9" s="16" t="s">
        <v>24</v>
      </c>
      <c r="L9" s="16" t="s">
        <v>24</v>
      </c>
      <c r="M9" s="16" t="s">
        <v>24</v>
      </c>
      <c r="N9" s="16" t="s">
        <v>24</v>
      </c>
      <c r="O9" s="16" t="s">
        <v>24</v>
      </c>
      <c r="P9" s="16" t="s">
        <v>24</v>
      </c>
      <c r="Q9" s="16" t="s">
        <v>24</v>
      </c>
      <c r="R9" s="16" t="s">
        <v>24</v>
      </c>
      <c r="S9" s="16" t="s">
        <v>24</v>
      </c>
      <c r="T9" s="3" t="s">
        <v>24</v>
      </c>
    </row>
    <row r="10" spans="1:20" x14ac:dyDescent="0.3">
      <c r="A10" s="28" t="s">
        <v>25</v>
      </c>
      <c r="B10" s="20">
        <f>1+1</f>
        <v>2</v>
      </c>
      <c r="C10" s="15">
        <v>6</v>
      </c>
      <c r="D10" s="16">
        <f t="shared" ref="D10:D15" si="0">B10+C10</f>
        <v>8</v>
      </c>
      <c r="E10" s="15">
        <v>5</v>
      </c>
      <c r="F10" s="15">
        <v>1</v>
      </c>
      <c r="G10" s="16">
        <f t="shared" ref="G10:G15" si="1">E10+F10</f>
        <v>6</v>
      </c>
      <c r="H10" s="15">
        <v>13</v>
      </c>
      <c r="I10" s="16">
        <v>6</v>
      </c>
      <c r="J10" s="19">
        <f t="shared" ref="J10:J16" si="2">H10+I10</f>
        <v>19</v>
      </c>
      <c r="K10" s="15">
        <v>10</v>
      </c>
      <c r="L10" s="15">
        <v>8</v>
      </c>
      <c r="M10" s="16">
        <f t="shared" ref="M10:M16" si="3">K10+L10</f>
        <v>18</v>
      </c>
      <c r="N10" s="15">
        <v>5</v>
      </c>
      <c r="O10" s="15">
        <v>4</v>
      </c>
      <c r="P10" s="16">
        <f t="shared" ref="P10:P16" si="4">N10+O10</f>
        <v>9</v>
      </c>
      <c r="Q10" s="15">
        <f>8+1</f>
        <v>9</v>
      </c>
      <c r="R10" s="15">
        <v>5</v>
      </c>
      <c r="S10" s="16">
        <f t="shared" ref="S10:S16" si="5">Q10+R10</f>
        <v>14</v>
      </c>
      <c r="T10" s="3">
        <f t="shared" ref="T10:T16" si="6">D10+G10+J10+M10+P10+S10</f>
        <v>74</v>
      </c>
    </row>
    <row r="11" spans="1:20" x14ac:dyDescent="0.3">
      <c r="A11" s="28" t="s">
        <v>26</v>
      </c>
      <c r="B11" s="19">
        <f>188+1+3</f>
        <v>192</v>
      </c>
      <c r="C11" s="16">
        <f>130+1+1+1</f>
        <v>133</v>
      </c>
      <c r="D11" s="16">
        <f t="shared" si="0"/>
        <v>325</v>
      </c>
      <c r="E11" s="16">
        <f>166+1+5</f>
        <v>172</v>
      </c>
      <c r="F11" s="16">
        <f>85+2</f>
        <v>87</v>
      </c>
      <c r="G11" s="16">
        <f t="shared" si="1"/>
        <v>259</v>
      </c>
      <c r="H11" s="16">
        <f>162+1+3</f>
        <v>166</v>
      </c>
      <c r="I11" s="16">
        <f>106+3</f>
        <v>109</v>
      </c>
      <c r="J11" s="19">
        <f t="shared" si="2"/>
        <v>275</v>
      </c>
      <c r="K11" s="16">
        <f>129+1+1</f>
        <v>131</v>
      </c>
      <c r="L11" s="16">
        <v>103</v>
      </c>
      <c r="M11" s="16">
        <f t="shared" si="3"/>
        <v>234</v>
      </c>
      <c r="N11" s="16">
        <f>149+2</f>
        <v>151</v>
      </c>
      <c r="O11" s="16">
        <f>121+3+1</f>
        <v>125</v>
      </c>
      <c r="P11" s="16">
        <f t="shared" si="4"/>
        <v>276</v>
      </c>
      <c r="Q11" s="16">
        <f>139+1+3</f>
        <v>143</v>
      </c>
      <c r="R11" s="16">
        <f>131+1+2</f>
        <v>134</v>
      </c>
      <c r="S11" s="16">
        <f t="shared" si="5"/>
        <v>277</v>
      </c>
      <c r="T11" s="3">
        <f t="shared" si="6"/>
        <v>1646</v>
      </c>
    </row>
    <row r="12" spans="1:20" x14ac:dyDescent="0.3">
      <c r="A12" s="28" t="s">
        <v>27</v>
      </c>
      <c r="B12" s="19">
        <v>6</v>
      </c>
      <c r="C12" s="16">
        <v>1</v>
      </c>
      <c r="D12" s="16">
        <f t="shared" si="0"/>
        <v>7</v>
      </c>
      <c r="E12" s="16">
        <v>5</v>
      </c>
      <c r="F12" s="16">
        <v>1</v>
      </c>
      <c r="G12" s="16">
        <f t="shared" si="1"/>
        <v>6</v>
      </c>
      <c r="H12" s="16">
        <f>2+1</f>
        <v>3</v>
      </c>
      <c r="I12" s="16">
        <v>4</v>
      </c>
      <c r="J12" s="19">
        <f t="shared" si="2"/>
        <v>7</v>
      </c>
      <c r="K12" s="16">
        <v>5</v>
      </c>
      <c r="L12" s="16">
        <v>0</v>
      </c>
      <c r="M12" s="16">
        <f t="shared" si="3"/>
        <v>5</v>
      </c>
      <c r="N12" s="16">
        <f>4+1</f>
        <v>5</v>
      </c>
      <c r="O12" s="16">
        <v>1</v>
      </c>
      <c r="P12" s="16">
        <f t="shared" si="4"/>
        <v>6</v>
      </c>
      <c r="Q12" s="16">
        <f>4+1</f>
        <v>5</v>
      </c>
      <c r="R12" s="16">
        <v>0</v>
      </c>
      <c r="S12" s="16">
        <f t="shared" si="5"/>
        <v>5</v>
      </c>
      <c r="T12" s="3">
        <f t="shared" si="6"/>
        <v>36</v>
      </c>
    </row>
    <row r="13" spans="1:20" x14ac:dyDescent="0.3">
      <c r="A13" s="28" t="s">
        <v>28</v>
      </c>
      <c r="B13" s="19">
        <f>16+1</f>
        <v>17</v>
      </c>
      <c r="C13" s="16">
        <v>3</v>
      </c>
      <c r="D13" s="16">
        <f t="shared" si="0"/>
        <v>20</v>
      </c>
      <c r="E13" s="16">
        <v>8</v>
      </c>
      <c r="F13" s="16">
        <v>1</v>
      </c>
      <c r="G13" s="16">
        <f t="shared" si="1"/>
        <v>9</v>
      </c>
      <c r="H13" s="16">
        <v>16</v>
      </c>
      <c r="I13" s="16">
        <v>5</v>
      </c>
      <c r="J13" s="19">
        <f t="shared" si="2"/>
        <v>21</v>
      </c>
      <c r="K13" s="16">
        <f>7+2</f>
        <v>9</v>
      </c>
      <c r="L13" s="16">
        <v>1</v>
      </c>
      <c r="M13" s="16">
        <f t="shared" si="3"/>
        <v>10</v>
      </c>
      <c r="N13" s="16">
        <v>18</v>
      </c>
      <c r="O13" s="16">
        <f>3+1</f>
        <v>4</v>
      </c>
      <c r="P13" s="16">
        <f t="shared" si="4"/>
        <v>22</v>
      </c>
      <c r="Q13" s="16">
        <v>8</v>
      </c>
      <c r="R13" s="16">
        <v>5</v>
      </c>
      <c r="S13" s="16">
        <f t="shared" si="5"/>
        <v>13</v>
      </c>
      <c r="T13" s="3">
        <f t="shared" si="6"/>
        <v>95</v>
      </c>
    </row>
    <row r="14" spans="1:20" x14ac:dyDescent="0.3">
      <c r="A14" s="29" t="s">
        <v>29</v>
      </c>
      <c r="B14" s="19">
        <f>6-4</f>
        <v>2</v>
      </c>
      <c r="C14" s="16">
        <v>2</v>
      </c>
      <c r="D14" s="16">
        <f t="shared" si="0"/>
        <v>4</v>
      </c>
      <c r="E14" s="16">
        <f>6-2</f>
        <v>4</v>
      </c>
      <c r="F14" s="16">
        <v>0</v>
      </c>
      <c r="G14" s="16">
        <f t="shared" si="1"/>
        <v>4</v>
      </c>
      <c r="H14" s="16">
        <v>1</v>
      </c>
      <c r="I14" s="16">
        <f>2-1</f>
        <v>1</v>
      </c>
      <c r="J14" s="19">
        <f t="shared" si="2"/>
        <v>2</v>
      </c>
      <c r="K14" s="16">
        <v>3</v>
      </c>
      <c r="L14" s="16">
        <v>4</v>
      </c>
      <c r="M14" s="16">
        <f t="shared" si="3"/>
        <v>7</v>
      </c>
      <c r="N14" s="16">
        <f>2+1</f>
        <v>3</v>
      </c>
      <c r="O14" s="16">
        <v>1</v>
      </c>
      <c r="P14" s="16">
        <f t="shared" si="4"/>
        <v>4</v>
      </c>
      <c r="Q14" s="16">
        <v>3</v>
      </c>
      <c r="R14" s="16">
        <f>2-2</f>
        <v>0</v>
      </c>
      <c r="S14" s="16">
        <f t="shared" si="5"/>
        <v>3</v>
      </c>
      <c r="T14" s="3">
        <f t="shared" si="6"/>
        <v>24</v>
      </c>
    </row>
    <row r="15" spans="1:20" x14ac:dyDescent="0.3">
      <c r="A15" s="29" t="s">
        <v>30</v>
      </c>
      <c r="B15" s="19">
        <f>4</f>
        <v>4</v>
      </c>
      <c r="C15" s="16">
        <v>1</v>
      </c>
      <c r="D15" s="16">
        <f t="shared" si="0"/>
        <v>5</v>
      </c>
      <c r="E15" s="16">
        <f>1+2+1</f>
        <v>4</v>
      </c>
      <c r="F15" s="16">
        <v>0</v>
      </c>
      <c r="G15" s="16">
        <f t="shared" si="1"/>
        <v>4</v>
      </c>
      <c r="H15" s="16">
        <v>0</v>
      </c>
      <c r="I15" s="16">
        <f>1+1</f>
        <v>2</v>
      </c>
      <c r="J15" s="19">
        <f t="shared" si="2"/>
        <v>2</v>
      </c>
      <c r="K15" s="16">
        <v>2</v>
      </c>
      <c r="L15" s="16">
        <v>0</v>
      </c>
      <c r="M15" s="16">
        <f t="shared" si="3"/>
        <v>2</v>
      </c>
      <c r="N15" s="16">
        <v>1</v>
      </c>
      <c r="O15" s="16">
        <v>0</v>
      </c>
      <c r="P15" s="16">
        <f t="shared" si="4"/>
        <v>1</v>
      </c>
      <c r="Q15" s="16">
        <v>0</v>
      </c>
      <c r="R15" s="16">
        <f>3+1</f>
        <v>4</v>
      </c>
      <c r="S15" s="16">
        <f t="shared" si="5"/>
        <v>4</v>
      </c>
      <c r="T15" s="3">
        <f t="shared" si="6"/>
        <v>18</v>
      </c>
    </row>
    <row r="16" spans="1:20" x14ac:dyDescent="0.3">
      <c r="A16" s="28" t="s">
        <v>31</v>
      </c>
      <c r="B16" s="20">
        <f>SUM(B9:B15)</f>
        <v>223</v>
      </c>
      <c r="C16" s="20">
        <f>SUM(C9:C15)</f>
        <v>146</v>
      </c>
      <c r="D16" s="16">
        <f>B16+C16</f>
        <v>369</v>
      </c>
      <c r="E16" s="20">
        <f t="shared" ref="E16:F16" si="7">SUM(E9:E15)</f>
        <v>198</v>
      </c>
      <c r="F16" s="20">
        <f t="shared" si="7"/>
        <v>90</v>
      </c>
      <c r="G16" s="16">
        <f>E16+F16</f>
        <v>288</v>
      </c>
      <c r="H16" s="20">
        <f t="shared" ref="H16:I16" si="8">SUM(H9:H15)</f>
        <v>199</v>
      </c>
      <c r="I16" s="20">
        <f t="shared" si="8"/>
        <v>127</v>
      </c>
      <c r="J16" s="19">
        <f t="shared" si="2"/>
        <v>326</v>
      </c>
      <c r="K16" s="20">
        <f>SUM(K9:K15)</f>
        <v>160</v>
      </c>
      <c r="L16" s="20">
        <f>SUM(L9:L15)</f>
        <v>116</v>
      </c>
      <c r="M16" s="16">
        <f t="shared" si="3"/>
        <v>276</v>
      </c>
      <c r="N16" s="20">
        <f>SUM(N9:N15)</f>
        <v>183</v>
      </c>
      <c r="O16" s="20">
        <f>SUM(O9:O15)</f>
        <v>135</v>
      </c>
      <c r="P16" s="16">
        <f t="shared" si="4"/>
        <v>318</v>
      </c>
      <c r="Q16" s="20">
        <f>SUM(Q9:Q15)</f>
        <v>168</v>
      </c>
      <c r="R16" s="20">
        <f>SUM(R9:R15)</f>
        <v>148</v>
      </c>
      <c r="S16" s="16">
        <f t="shared" si="5"/>
        <v>316</v>
      </c>
      <c r="T16" s="3">
        <f t="shared" si="6"/>
        <v>1893</v>
      </c>
    </row>
    <row r="17" spans="1:20" ht="9" customHeight="1" x14ac:dyDescent="0.3">
      <c r="A17" s="9"/>
      <c r="B17" s="14"/>
      <c r="C17" s="14"/>
      <c r="D17" s="14"/>
      <c r="E17" s="14"/>
      <c r="F17" s="14"/>
      <c r="G17" s="14"/>
      <c r="H17" s="14"/>
      <c r="I17" s="14"/>
      <c r="J17" s="17"/>
      <c r="K17" s="14"/>
      <c r="L17" s="14"/>
      <c r="M17" s="14"/>
      <c r="N17" s="14"/>
      <c r="O17" s="14"/>
      <c r="P17" s="14"/>
      <c r="Q17" s="14"/>
      <c r="R17" s="14"/>
      <c r="S17" s="14"/>
      <c r="T17" s="10"/>
    </row>
    <row r="18" spans="1:20" x14ac:dyDescent="0.3">
      <c r="A18" s="30" t="s">
        <v>32</v>
      </c>
      <c r="B18" s="19"/>
      <c r="C18" s="19"/>
      <c r="D18" s="16" t="s">
        <v>24</v>
      </c>
      <c r="E18" s="19"/>
      <c r="F18" s="19"/>
      <c r="G18" s="16" t="s">
        <v>24</v>
      </c>
      <c r="H18" s="19"/>
      <c r="I18" s="19"/>
      <c r="J18" s="19" t="s">
        <v>24</v>
      </c>
      <c r="K18" s="19"/>
      <c r="L18" s="16"/>
      <c r="M18" s="16" t="s">
        <v>24</v>
      </c>
      <c r="N18" s="16"/>
      <c r="O18" s="16"/>
      <c r="P18" s="16" t="s">
        <v>24</v>
      </c>
      <c r="Q18" s="16"/>
      <c r="R18" s="16"/>
      <c r="S18" s="16" t="s">
        <v>24</v>
      </c>
      <c r="T18" s="3" t="s">
        <v>31</v>
      </c>
    </row>
    <row r="19" spans="1:20" x14ac:dyDescent="0.3">
      <c r="A19" s="28" t="s">
        <v>33</v>
      </c>
      <c r="B19" s="20">
        <f>168+1+2</f>
        <v>171</v>
      </c>
      <c r="C19" s="15">
        <f>105+1+1+1</f>
        <v>108</v>
      </c>
      <c r="D19" s="16">
        <f t="shared" ref="D19:D22" si="9">B19+C19</f>
        <v>279</v>
      </c>
      <c r="E19" s="15">
        <f>157+1+1+4</f>
        <v>163</v>
      </c>
      <c r="F19" s="15">
        <f>68+2</f>
        <v>70</v>
      </c>
      <c r="G19" s="16">
        <f t="shared" ref="G19:G22" si="10">E19+F19</f>
        <v>233</v>
      </c>
      <c r="H19" s="15">
        <f>155+1+1+3</f>
        <v>160</v>
      </c>
      <c r="I19" s="15">
        <f>94+3</f>
        <v>97</v>
      </c>
      <c r="J19" s="19">
        <f t="shared" ref="J19:J22" si="11">H19+I19</f>
        <v>257</v>
      </c>
      <c r="K19" s="15">
        <f>132+1+1</f>
        <v>134</v>
      </c>
      <c r="L19" s="15">
        <v>90</v>
      </c>
      <c r="M19" s="16">
        <f t="shared" ref="M19:M22" si="12">K19+L19</f>
        <v>224</v>
      </c>
      <c r="N19" s="15">
        <f>153+3</f>
        <v>156</v>
      </c>
      <c r="O19" s="15">
        <f>104+3+1</f>
        <v>108</v>
      </c>
      <c r="P19" s="16">
        <f t="shared" ref="P19:P22" si="13">N19+O19</f>
        <v>264</v>
      </c>
      <c r="Q19" s="15">
        <f>134+1+5</f>
        <v>140</v>
      </c>
      <c r="R19" s="15">
        <f>115+1</f>
        <v>116</v>
      </c>
      <c r="S19" s="16">
        <f t="shared" ref="S19:S22" si="14">Q19+R19</f>
        <v>256</v>
      </c>
      <c r="T19" s="3">
        <f t="shared" ref="T19:T22" si="15">D19+G19+J19+M19+P19+S19</f>
        <v>1513</v>
      </c>
    </row>
    <row r="20" spans="1:20" x14ac:dyDescent="0.3">
      <c r="A20" s="29" t="s">
        <v>34</v>
      </c>
      <c r="B20" s="19">
        <v>1</v>
      </c>
      <c r="C20" s="16">
        <v>0</v>
      </c>
      <c r="D20" s="16">
        <f t="shared" si="9"/>
        <v>1</v>
      </c>
      <c r="E20" s="16">
        <v>1</v>
      </c>
      <c r="F20" s="16">
        <v>0</v>
      </c>
      <c r="G20" s="16">
        <f t="shared" si="10"/>
        <v>1</v>
      </c>
      <c r="H20" s="16">
        <v>1</v>
      </c>
      <c r="I20" s="16">
        <v>0</v>
      </c>
      <c r="J20" s="19">
        <f t="shared" si="11"/>
        <v>1</v>
      </c>
      <c r="K20" s="16">
        <f>1-1</f>
        <v>0</v>
      </c>
      <c r="L20" s="16">
        <v>0</v>
      </c>
      <c r="M20" s="16">
        <f t="shared" si="12"/>
        <v>0</v>
      </c>
      <c r="N20" s="16">
        <v>1</v>
      </c>
      <c r="O20" s="16">
        <v>0</v>
      </c>
      <c r="P20" s="16">
        <f t="shared" si="13"/>
        <v>1</v>
      </c>
      <c r="Q20" s="16">
        <v>28</v>
      </c>
      <c r="R20" s="16">
        <v>1</v>
      </c>
      <c r="S20" s="16">
        <f t="shared" si="14"/>
        <v>29</v>
      </c>
      <c r="T20" s="3">
        <f t="shared" si="15"/>
        <v>33</v>
      </c>
    </row>
    <row r="21" spans="1:20" x14ac:dyDescent="0.3">
      <c r="A21" s="31" t="s">
        <v>30</v>
      </c>
      <c r="B21" s="19">
        <f>48+3</f>
        <v>51</v>
      </c>
      <c r="C21" s="19">
        <v>38</v>
      </c>
      <c r="D21" s="16">
        <f t="shared" si="9"/>
        <v>89</v>
      </c>
      <c r="E21" s="19">
        <f>33+1</f>
        <v>34</v>
      </c>
      <c r="F21" s="19">
        <v>20</v>
      </c>
      <c r="G21" s="16">
        <f t="shared" si="10"/>
        <v>54</v>
      </c>
      <c r="H21" s="19">
        <v>38</v>
      </c>
      <c r="I21" s="19">
        <v>30</v>
      </c>
      <c r="J21" s="19">
        <f t="shared" si="11"/>
        <v>68</v>
      </c>
      <c r="K21" s="16">
        <f>23+1+2</f>
        <v>26</v>
      </c>
      <c r="L21" s="16">
        <v>26</v>
      </c>
      <c r="M21" s="16">
        <f t="shared" si="12"/>
        <v>52</v>
      </c>
      <c r="N21" s="16">
        <f>25+1</f>
        <v>26</v>
      </c>
      <c r="O21" s="16">
        <f>26+1</f>
        <v>27</v>
      </c>
      <c r="P21" s="16">
        <f t="shared" si="13"/>
        <v>53</v>
      </c>
      <c r="Q21" s="16">
        <v>0</v>
      </c>
      <c r="R21" s="16">
        <f>30+1</f>
        <v>31</v>
      </c>
      <c r="S21" s="16">
        <f t="shared" si="14"/>
        <v>31</v>
      </c>
      <c r="T21" s="3">
        <f t="shared" si="15"/>
        <v>347</v>
      </c>
    </row>
    <row r="22" spans="1:20" x14ac:dyDescent="0.3">
      <c r="A22" s="30" t="s">
        <v>31</v>
      </c>
      <c r="B22" s="20">
        <f>SUM(B19:B21)</f>
        <v>223</v>
      </c>
      <c r="C22" s="20">
        <f>SUM(C19:C21)</f>
        <v>146</v>
      </c>
      <c r="D22" s="16">
        <f t="shared" si="9"/>
        <v>369</v>
      </c>
      <c r="E22" s="20">
        <f>SUM(E19:E21)</f>
        <v>198</v>
      </c>
      <c r="F22" s="20">
        <f>SUM(F19:F21)</f>
        <v>90</v>
      </c>
      <c r="G22" s="16">
        <f t="shared" si="10"/>
        <v>288</v>
      </c>
      <c r="H22" s="20">
        <f>SUM(H19:H21)</f>
        <v>199</v>
      </c>
      <c r="I22" s="20">
        <f>SUM(I19:I21)</f>
        <v>127</v>
      </c>
      <c r="J22" s="19">
        <f t="shared" si="11"/>
        <v>326</v>
      </c>
      <c r="K22" s="20">
        <f>SUM(K19:K21)</f>
        <v>160</v>
      </c>
      <c r="L22" s="20">
        <f>SUM(L19:L21)</f>
        <v>116</v>
      </c>
      <c r="M22" s="16">
        <f t="shared" si="12"/>
        <v>276</v>
      </c>
      <c r="N22" s="20">
        <f>SUM(N19:N21)</f>
        <v>183</v>
      </c>
      <c r="O22" s="20">
        <f>SUM(O19:O21)</f>
        <v>135</v>
      </c>
      <c r="P22" s="16">
        <f t="shared" si="13"/>
        <v>318</v>
      </c>
      <c r="Q22" s="20">
        <f>SUM(Q19:Q21)</f>
        <v>168</v>
      </c>
      <c r="R22" s="20">
        <f>SUM(R19:R21)</f>
        <v>148</v>
      </c>
      <c r="S22" s="16">
        <f t="shared" si="14"/>
        <v>316</v>
      </c>
      <c r="T22" s="3">
        <f t="shared" si="15"/>
        <v>1893</v>
      </c>
    </row>
    <row r="23" spans="1:20" ht="9" customHeight="1" x14ac:dyDescent="0.3">
      <c r="A23" s="9"/>
      <c r="B23" s="14"/>
      <c r="C23" s="14"/>
      <c r="D23" s="14"/>
      <c r="E23" s="14"/>
      <c r="F23" s="14"/>
      <c r="G23" s="14"/>
      <c r="H23" s="14"/>
      <c r="I23" s="14"/>
      <c r="J23" s="17"/>
      <c r="K23" s="14"/>
      <c r="L23" s="14"/>
      <c r="M23" s="14"/>
      <c r="N23" s="14"/>
      <c r="O23" s="14"/>
      <c r="P23" s="14"/>
      <c r="Q23" s="14"/>
      <c r="R23" s="14"/>
      <c r="S23" s="14"/>
      <c r="T23" s="10"/>
    </row>
    <row r="24" spans="1:20" x14ac:dyDescent="0.3">
      <c r="A24" s="30" t="s">
        <v>35</v>
      </c>
      <c r="B24" s="19"/>
      <c r="C24" s="19"/>
      <c r="D24" s="16"/>
      <c r="E24" s="19"/>
      <c r="F24" s="19"/>
      <c r="G24" s="16"/>
      <c r="H24" s="19"/>
      <c r="I24" s="19"/>
      <c r="J24" s="19"/>
      <c r="K24" s="19"/>
      <c r="L24" s="16"/>
      <c r="M24" s="16"/>
      <c r="N24" s="16"/>
      <c r="O24" s="16"/>
      <c r="P24" s="16"/>
      <c r="Q24" s="16"/>
      <c r="R24" s="16"/>
      <c r="S24" s="16"/>
      <c r="T24" s="3" t="s">
        <v>24</v>
      </c>
    </row>
    <row r="25" spans="1:20" x14ac:dyDescent="0.3">
      <c r="A25" s="28" t="s">
        <v>36</v>
      </c>
      <c r="B25" s="19">
        <f>167+1+2</f>
        <v>170</v>
      </c>
      <c r="C25" s="19">
        <f>102+1+1+1</f>
        <v>105</v>
      </c>
      <c r="D25" s="16">
        <f t="shared" ref="D25:D28" si="16">B25+C25</f>
        <v>275</v>
      </c>
      <c r="E25" s="19">
        <f>155+1+1+4</f>
        <v>161</v>
      </c>
      <c r="F25" s="19">
        <f>66+2</f>
        <v>68</v>
      </c>
      <c r="G25" s="16">
        <f t="shared" ref="G25:G28" si="17">E25+F25</f>
        <v>229</v>
      </c>
      <c r="H25" s="19">
        <f>151+1+1+3</f>
        <v>156</v>
      </c>
      <c r="I25" s="19">
        <f>91+3</f>
        <v>94</v>
      </c>
      <c r="J25" s="19">
        <f t="shared" ref="J25:J28" si="18">H25+I25</f>
        <v>250</v>
      </c>
      <c r="K25" s="19">
        <f>132+1+2</f>
        <v>135</v>
      </c>
      <c r="L25" s="16">
        <v>91</v>
      </c>
      <c r="M25" s="16">
        <f t="shared" ref="M25:M27" si="19">K25+L25</f>
        <v>226</v>
      </c>
      <c r="N25" s="16">
        <f>152+1+3</f>
        <v>156</v>
      </c>
      <c r="O25" s="16">
        <f>100+3+1</f>
        <v>104</v>
      </c>
      <c r="P25" s="16">
        <f t="shared" ref="P25:P28" si="20">N25+O25</f>
        <v>260</v>
      </c>
      <c r="Q25" s="16">
        <f>132+5</f>
        <v>137</v>
      </c>
      <c r="R25" s="16">
        <f>112+1</f>
        <v>113</v>
      </c>
      <c r="S25" s="16">
        <f t="shared" ref="S25:S28" si="21">Q25+R25</f>
        <v>250</v>
      </c>
      <c r="T25" s="3">
        <f t="shared" ref="T25:T28" si="22">D25+G25+J25+M25+P25+S25</f>
        <v>1490</v>
      </c>
    </row>
    <row r="26" spans="1:20" x14ac:dyDescent="0.3">
      <c r="A26" s="29" t="s">
        <v>34</v>
      </c>
      <c r="B26" s="19">
        <f>4-2</f>
        <v>2</v>
      </c>
      <c r="C26" s="16">
        <v>0</v>
      </c>
      <c r="D26" s="16">
        <f t="shared" si="16"/>
        <v>2</v>
      </c>
      <c r="E26" s="16">
        <f>1-1</f>
        <v>0</v>
      </c>
      <c r="F26" s="16">
        <v>0</v>
      </c>
      <c r="G26" s="16">
        <f t="shared" si="17"/>
        <v>0</v>
      </c>
      <c r="H26" s="16">
        <v>1</v>
      </c>
      <c r="I26" s="16">
        <v>0</v>
      </c>
      <c r="J26" s="19">
        <f t="shared" si="18"/>
        <v>1</v>
      </c>
      <c r="K26" s="16">
        <v>0</v>
      </c>
      <c r="L26" s="16">
        <v>0</v>
      </c>
      <c r="M26" s="16">
        <f t="shared" si="19"/>
        <v>0</v>
      </c>
      <c r="N26" s="16">
        <v>1</v>
      </c>
      <c r="O26" s="16">
        <v>0</v>
      </c>
      <c r="P26" s="16">
        <f t="shared" si="20"/>
        <v>1</v>
      </c>
      <c r="Q26" s="16">
        <v>0</v>
      </c>
      <c r="R26" s="16">
        <v>1</v>
      </c>
      <c r="S26" s="16">
        <f t="shared" si="21"/>
        <v>1</v>
      </c>
      <c r="T26" s="3">
        <f t="shared" si="22"/>
        <v>5</v>
      </c>
    </row>
    <row r="27" spans="1:20" x14ac:dyDescent="0.3">
      <c r="A27" s="31" t="s">
        <v>30</v>
      </c>
      <c r="B27" s="19">
        <f>46+2+3</f>
        <v>51</v>
      </c>
      <c r="C27" s="19">
        <v>41</v>
      </c>
      <c r="D27" s="16">
        <f t="shared" si="16"/>
        <v>92</v>
      </c>
      <c r="E27" s="19">
        <f>35+1+1</f>
        <v>37</v>
      </c>
      <c r="F27" s="19">
        <v>22</v>
      </c>
      <c r="G27" s="16">
        <f t="shared" si="17"/>
        <v>59</v>
      </c>
      <c r="H27" s="19">
        <v>42</v>
      </c>
      <c r="I27" s="19">
        <v>33</v>
      </c>
      <c r="J27" s="19">
        <f t="shared" si="18"/>
        <v>75</v>
      </c>
      <c r="K27" s="19">
        <f>24+1</f>
        <v>25</v>
      </c>
      <c r="L27" s="16">
        <v>25</v>
      </c>
      <c r="M27" s="16">
        <f t="shared" si="19"/>
        <v>50</v>
      </c>
      <c r="N27" s="16">
        <v>26</v>
      </c>
      <c r="O27" s="16">
        <f>30+1</f>
        <v>31</v>
      </c>
      <c r="P27" s="16">
        <f t="shared" si="20"/>
        <v>57</v>
      </c>
      <c r="Q27" s="16">
        <f>30+1</f>
        <v>31</v>
      </c>
      <c r="R27" s="16">
        <f>33+1</f>
        <v>34</v>
      </c>
      <c r="S27" s="16">
        <f t="shared" si="21"/>
        <v>65</v>
      </c>
      <c r="T27" s="3">
        <f t="shared" si="22"/>
        <v>398</v>
      </c>
    </row>
    <row r="28" spans="1:20" x14ac:dyDescent="0.3">
      <c r="A28" s="30" t="s">
        <v>31</v>
      </c>
      <c r="B28" s="20">
        <f>SUM(B25:B27)</f>
        <v>223</v>
      </c>
      <c r="C28" s="20">
        <f>SUM(C25:C27)</f>
        <v>146</v>
      </c>
      <c r="D28" s="16">
        <f t="shared" si="16"/>
        <v>369</v>
      </c>
      <c r="E28" s="20">
        <f>SUM(E25:E27)</f>
        <v>198</v>
      </c>
      <c r="F28" s="20">
        <f>SUM(F25:F27)</f>
        <v>90</v>
      </c>
      <c r="G28" s="16">
        <f t="shared" si="17"/>
        <v>288</v>
      </c>
      <c r="H28" s="20">
        <f>SUM(H25:H27)</f>
        <v>199</v>
      </c>
      <c r="I28" s="20">
        <f>SUM(I25:I27)</f>
        <v>127</v>
      </c>
      <c r="J28" s="19">
        <f t="shared" si="18"/>
        <v>326</v>
      </c>
      <c r="K28" s="20">
        <f>SUM(K25:K27)</f>
        <v>160</v>
      </c>
      <c r="L28" s="20">
        <f>SUM(L25:L27)</f>
        <v>116</v>
      </c>
      <c r="M28" s="15">
        <f>SUM(M25:M27)</f>
        <v>276</v>
      </c>
      <c r="N28" s="20">
        <f>SUM(N25:N27)</f>
        <v>183</v>
      </c>
      <c r="O28" s="20">
        <f>SUM(O25:O27)</f>
        <v>135</v>
      </c>
      <c r="P28" s="16">
        <f t="shared" si="20"/>
        <v>318</v>
      </c>
      <c r="Q28" s="20">
        <f>SUM(Q25:Q27)</f>
        <v>168</v>
      </c>
      <c r="R28" s="20">
        <f>SUM(R25:R27)</f>
        <v>148</v>
      </c>
      <c r="S28" s="16">
        <f t="shared" si="21"/>
        <v>316</v>
      </c>
      <c r="T28" s="3">
        <f t="shared" si="22"/>
        <v>1893</v>
      </c>
    </row>
    <row r="29" spans="1:20" ht="7.5" customHeight="1" x14ac:dyDescent="0.3">
      <c r="A29" s="9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0"/>
    </row>
    <row r="30" spans="1:20" ht="18.75" customHeight="1" x14ac:dyDescent="0.3">
      <c r="A30" s="32" t="s">
        <v>37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33" t="s">
        <v>24</v>
      </c>
    </row>
    <row r="31" spans="1:20" x14ac:dyDescent="0.3">
      <c r="A31" s="30" t="s">
        <v>38</v>
      </c>
      <c r="B31" s="19">
        <f>151+120+1+3</f>
        <v>275</v>
      </c>
      <c r="C31" s="19">
        <f>107+96+1+1+1</f>
        <v>206</v>
      </c>
      <c r="D31" s="16">
        <f t="shared" ref="D31:D39" si="23">B31+C31</f>
        <v>481</v>
      </c>
      <c r="E31" s="19">
        <f>139+114+1+4</f>
        <v>258</v>
      </c>
      <c r="F31" s="19">
        <f>68+62+1</f>
        <v>131</v>
      </c>
      <c r="G31" s="16">
        <f t="shared" ref="G31:G39" si="24">E31+F31</f>
        <v>389</v>
      </c>
      <c r="H31" s="19">
        <f>131+112+1+3</f>
        <v>247</v>
      </c>
      <c r="I31" s="19">
        <f>87+76+3</f>
        <v>166</v>
      </c>
      <c r="J31" s="19">
        <f t="shared" ref="J31:J39" si="25">H31+I31</f>
        <v>413</v>
      </c>
      <c r="K31" s="19">
        <f>112+98+1+2</f>
        <v>213</v>
      </c>
      <c r="L31" s="19">
        <f>84+80</f>
        <v>164</v>
      </c>
      <c r="M31" s="16">
        <f t="shared" ref="M31:M39" si="26">K31+L31</f>
        <v>377</v>
      </c>
      <c r="N31" s="19">
        <f>130+115+1+2</f>
        <v>248</v>
      </c>
      <c r="O31" s="19">
        <f>98+87+3</f>
        <v>188</v>
      </c>
      <c r="P31" s="16">
        <f t="shared" ref="P31:P39" si="27">N31+O31</f>
        <v>436</v>
      </c>
      <c r="Q31" s="19">
        <f>116+95+5</f>
        <v>216</v>
      </c>
      <c r="R31" s="19">
        <f>104+99+2</f>
        <v>205</v>
      </c>
      <c r="S31" s="16">
        <f t="shared" ref="S31:S39" si="28">Q31+R31</f>
        <v>421</v>
      </c>
      <c r="T31" s="3">
        <f t="shared" ref="T31:T39" si="29">D31+G31+J31+M31+P31+S31</f>
        <v>2517</v>
      </c>
    </row>
    <row r="32" spans="1:20" x14ac:dyDescent="0.3">
      <c r="A32" s="30" t="s">
        <v>39</v>
      </c>
      <c r="B32" s="19">
        <f>145+120+1+3</f>
        <v>269</v>
      </c>
      <c r="C32" s="19">
        <f>109+96+1+1</f>
        <v>207</v>
      </c>
      <c r="D32" s="16">
        <f t="shared" si="23"/>
        <v>476</v>
      </c>
      <c r="E32" s="19">
        <f>128+114+1+1+4</f>
        <v>248</v>
      </c>
      <c r="F32" s="19">
        <f>66+62+1</f>
        <v>129</v>
      </c>
      <c r="G32" s="16">
        <f t="shared" si="24"/>
        <v>377</v>
      </c>
      <c r="H32" s="19">
        <f>125+112+1+3</f>
        <v>241</v>
      </c>
      <c r="I32" s="19">
        <f>82+76+3</f>
        <v>161</v>
      </c>
      <c r="J32" s="19">
        <f t="shared" si="25"/>
        <v>402</v>
      </c>
      <c r="K32" s="19">
        <f>111+98+1+2</f>
        <v>212</v>
      </c>
      <c r="L32" s="19">
        <f>85+80</f>
        <v>165</v>
      </c>
      <c r="M32" s="16">
        <f t="shared" si="26"/>
        <v>377</v>
      </c>
      <c r="N32" s="19">
        <f>130+115+1+2</f>
        <v>248</v>
      </c>
      <c r="O32" s="19">
        <f>96+87+3</f>
        <v>186</v>
      </c>
      <c r="P32" s="16">
        <f t="shared" si="27"/>
        <v>434</v>
      </c>
      <c r="Q32" s="19">
        <f>110+95+5</f>
        <v>210</v>
      </c>
      <c r="R32" s="19">
        <f>106+99+2</f>
        <v>207</v>
      </c>
      <c r="S32" s="16">
        <f t="shared" si="28"/>
        <v>417</v>
      </c>
      <c r="T32" s="3">
        <f t="shared" si="29"/>
        <v>2483</v>
      </c>
    </row>
    <row r="33" spans="1:21" x14ac:dyDescent="0.3">
      <c r="A33" s="30" t="s">
        <v>40</v>
      </c>
      <c r="B33" s="19">
        <f>138+120+1+3</f>
        <v>262</v>
      </c>
      <c r="C33" s="19">
        <f>101+96+1+1</f>
        <v>199</v>
      </c>
      <c r="D33" s="16">
        <f t="shared" si="23"/>
        <v>461</v>
      </c>
      <c r="E33" s="19">
        <f>129+114+1+4</f>
        <v>248</v>
      </c>
      <c r="F33" s="19">
        <f>66+62+1</f>
        <v>129</v>
      </c>
      <c r="G33" s="16">
        <f t="shared" si="24"/>
        <v>377</v>
      </c>
      <c r="H33" s="19">
        <f>130+112+1+3</f>
        <v>246</v>
      </c>
      <c r="I33" s="19">
        <f>83+76+3</f>
        <v>162</v>
      </c>
      <c r="J33" s="19">
        <f t="shared" si="25"/>
        <v>408</v>
      </c>
      <c r="K33" s="19">
        <f>105+98+1+2</f>
        <v>206</v>
      </c>
      <c r="L33" s="19">
        <f>83+80</f>
        <v>163</v>
      </c>
      <c r="M33" s="16">
        <f t="shared" si="26"/>
        <v>369</v>
      </c>
      <c r="N33" s="19">
        <f>123+115+1+2</f>
        <v>241</v>
      </c>
      <c r="O33" s="19">
        <f>93+87+3</f>
        <v>183</v>
      </c>
      <c r="P33" s="16">
        <f t="shared" si="27"/>
        <v>424</v>
      </c>
      <c r="Q33" s="19">
        <f>106+95+5</f>
        <v>206</v>
      </c>
      <c r="R33" s="19">
        <f>105+99+2</f>
        <v>206</v>
      </c>
      <c r="S33" s="16">
        <f t="shared" si="28"/>
        <v>412</v>
      </c>
      <c r="T33" s="3">
        <f t="shared" si="29"/>
        <v>2451</v>
      </c>
    </row>
    <row r="34" spans="1:21" x14ac:dyDescent="0.3">
      <c r="A34" s="30" t="s">
        <v>41</v>
      </c>
      <c r="B34" s="19">
        <f>141+120+1+3</f>
        <v>265</v>
      </c>
      <c r="C34" s="19">
        <f>100+96+1+1</f>
        <v>198</v>
      </c>
      <c r="D34" s="16">
        <f t="shared" si="23"/>
        <v>463</v>
      </c>
      <c r="E34" s="19">
        <f>125+114+1+4</f>
        <v>244</v>
      </c>
      <c r="F34" s="19">
        <f>65+62+1</f>
        <v>128</v>
      </c>
      <c r="G34" s="16">
        <f t="shared" si="24"/>
        <v>372</v>
      </c>
      <c r="H34" s="19">
        <f>121+112+1+3</f>
        <v>237</v>
      </c>
      <c r="I34" s="19">
        <f>84+76+3</f>
        <v>163</v>
      </c>
      <c r="J34" s="19">
        <f t="shared" si="25"/>
        <v>400</v>
      </c>
      <c r="K34" s="19">
        <f>106+98+1+2</f>
        <v>207</v>
      </c>
      <c r="L34" s="19">
        <f>84+80</f>
        <v>164</v>
      </c>
      <c r="M34" s="16">
        <f t="shared" si="26"/>
        <v>371</v>
      </c>
      <c r="N34" s="19">
        <f>125+115+1+2</f>
        <v>243</v>
      </c>
      <c r="O34" s="19">
        <f>94+87+3</f>
        <v>184</v>
      </c>
      <c r="P34" s="16">
        <f t="shared" si="27"/>
        <v>427</v>
      </c>
      <c r="Q34" s="19">
        <f>105+95+5</f>
        <v>205</v>
      </c>
      <c r="R34" s="19">
        <f>105+99+2</f>
        <v>206</v>
      </c>
      <c r="S34" s="16">
        <f t="shared" si="28"/>
        <v>411</v>
      </c>
      <c r="T34" s="3">
        <f t="shared" si="29"/>
        <v>2444</v>
      </c>
    </row>
    <row r="35" spans="1:21" x14ac:dyDescent="0.3">
      <c r="A35" s="30" t="s">
        <v>42</v>
      </c>
      <c r="B35" s="19">
        <f>160+120+1+3</f>
        <v>284</v>
      </c>
      <c r="C35" s="19">
        <f>110+96+1+1</f>
        <v>208</v>
      </c>
      <c r="D35" s="16">
        <f t="shared" si="23"/>
        <v>492</v>
      </c>
      <c r="E35" s="19">
        <f>150+114+1+4</f>
        <v>269</v>
      </c>
      <c r="F35" s="19">
        <f>72+62+1</f>
        <v>135</v>
      </c>
      <c r="G35" s="16">
        <f t="shared" si="24"/>
        <v>404</v>
      </c>
      <c r="H35" s="19">
        <f>132+112+1+3</f>
        <v>248</v>
      </c>
      <c r="I35" s="19">
        <f>88+76+3</f>
        <v>167</v>
      </c>
      <c r="J35" s="19">
        <f t="shared" si="25"/>
        <v>415</v>
      </c>
      <c r="K35" s="19">
        <f>119+98+1+2</f>
        <v>220</v>
      </c>
      <c r="L35" s="19">
        <f>90+80</f>
        <v>170</v>
      </c>
      <c r="M35" s="16">
        <f t="shared" si="26"/>
        <v>390</v>
      </c>
      <c r="N35" s="19">
        <f>129+115+1+2</f>
        <v>247</v>
      </c>
      <c r="O35" s="19">
        <f>101+87+3</f>
        <v>191</v>
      </c>
      <c r="P35" s="16">
        <f t="shared" si="27"/>
        <v>438</v>
      </c>
      <c r="Q35" s="19">
        <f>118+95+5</f>
        <v>218</v>
      </c>
      <c r="R35" s="19">
        <f>112+99+2</f>
        <v>213</v>
      </c>
      <c r="S35" s="16">
        <f t="shared" si="28"/>
        <v>431</v>
      </c>
      <c r="T35" s="3">
        <f t="shared" si="29"/>
        <v>2570</v>
      </c>
    </row>
    <row r="36" spans="1:21" x14ac:dyDescent="0.3">
      <c r="A36" s="30" t="s">
        <v>43</v>
      </c>
      <c r="B36" s="19">
        <f>148+120+1+3</f>
        <v>272</v>
      </c>
      <c r="C36" s="19">
        <f>110+96+1+1</f>
        <v>208</v>
      </c>
      <c r="D36" s="16">
        <f t="shared" si="23"/>
        <v>480</v>
      </c>
      <c r="E36" s="19">
        <f>144+114+1+4</f>
        <v>263</v>
      </c>
      <c r="F36" s="19">
        <f>70+62+1</f>
        <v>133</v>
      </c>
      <c r="G36" s="16">
        <f t="shared" si="24"/>
        <v>396</v>
      </c>
      <c r="H36" s="19">
        <f>131+112+1+1+3</f>
        <v>248</v>
      </c>
      <c r="I36" s="19">
        <f>85+76+3</f>
        <v>164</v>
      </c>
      <c r="J36" s="19">
        <f t="shared" si="25"/>
        <v>412</v>
      </c>
      <c r="K36" s="19">
        <f>111+98+1+2</f>
        <v>212</v>
      </c>
      <c r="L36" s="19">
        <f>90+80</f>
        <v>170</v>
      </c>
      <c r="M36" s="16">
        <f t="shared" si="26"/>
        <v>382</v>
      </c>
      <c r="N36" s="19">
        <f>124+115+1+2</f>
        <v>242</v>
      </c>
      <c r="O36" s="19">
        <f>99+87+3</f>
        <v>189</v>
      </c>
      <c r="P36" s="16">
        <f t="shared" si="27"/>
        <v>431</v>
      </c>
      <c r="Q36" s="19">
        <f>114+95+4</f>
        <v>213</v>
      </c>
      <c r="R36" s="19">
        <f>107+99+2</f>
        <v>208</v>
      </c>
      <c r="S36" s="16">
        <f t="shared" si="28"/>
        <v>421</v>
      </c>
      <c r="T36" s="3">
        <f t="shared" si="29"/>
        <v>2522</v>
      </c>
    </row>
    <row r="37" spans="1:21" x14ac:dyDescent="0.3">
      <c r="A37" s="30" t="s">
        <v>44</v>
      </c>
      <c r="B37" s="19">
        <f>145+120+1+3</f>
        <v>269</v>
      </c>
      <c r="C37" s="19">
        <f>106+96+1+1</f>
        <v>204</v>
      </c>
      <c r="D37" s="16">
        <f t="shared" si="23"/>
        <v>473</v>
      </c>
      <c r="E37" s="19">
        <f>136+114+1+4</f>
        <v>255</v>
      </c>
      <c r="F37" s="19">
        <f>67+62+1</f>
        <v>130</v>
      </c>
      <c r="G37" s="16">
        <f t="shared" si="24"/>
        <v>385</v>
      </c>
      <c r="H37" s="19">
        <f>127+112+1+3</f>
        <v>243</v>
      </c>
      <c r="I37" s="19">
        <f>83+76+3</f>
        <v>162</v>
      </c>
      <c r="J37" s="19">
        <f t="shared" si="25"/>
        <v>405</v>
      </c>
      <c r="K37" s="19">
        <f>110+98+1+2</f>
        <v>211</v>
      </c>
      <c r="L37" s="19">
        <f>85+80</f>
        <v>165</v>
      </c>
      <c r="M37" s="16">
        <f t="shared" si="26"/>
        <v>376</v>
      </c>
      <c r="N37" s="19">
        <f>123+115+1+2</f>
        <v>241</v>
      </c>
      <c r="O37" s="19">
        <f>94+87+3</f>
        <v>184</v>
      </c>
      <c r="P37" s="16">
        <f t="shared" si="27"/>
        <v>425</v>
      </c>
      <c r="Q37" s="19">
        <f>111+95+5</f>
        <v>211</v>
      </c>
      <c r="R37" s="19">
        <f>107+99+2</f>
        <v>208</v>
      </c>
      <c r="S37" s="16">
        <f t="shared" si="28"/>
        <v>419</v>
      </c>
      <c r="T37" s="3">
        <f>D37+G37+J37+M37+P37+S37</f>
        <v>2483</v>
      </c>
    </row>
    <row r="38" spans="1:21" x14ac:dyDescent="0.3">
      <c r="A38" s="31" t="s">
        <v>29</v>
      </c>
      <c r="B38" s="19">
        <v>4</v>
      </c>
      <c r="C38" s="19">
        <v>0</v>
      </c>
      <c r="D38" s="16">
        <f t="shared" si="23"/>
        <v>4</v>
      </c>
      <c r="E38" s="19">
        <v>3</v>
      </c>
      <c r="F38" s="19">
        <v>1</v>
      </c>
      <c r="G38" s="16">
        <f t="shared" si="24"/>
        <v>4</v>
      </c>
      <c r="H38" s="19">
        <v>1</v>
      </c>
      <c r="I38" s="19">
        <v>0</v>
      </c>
      <c r="J38" s="19">
        <f t="shared" si="25"/>
        <v>1</v>
      </c>
      <c r="K38" s="19">
        <v>2</v>
      </c>
      <c r="L38" s="19">
        <v>1</v>
      </c>
      <c r="M38" s="16">
        <f t="shared" si="26"/>
        <v>3</v>
      </c>
      <c r="N38" s="19">
        <v>1</v>
      </c>
      <c r="O38" s="19">
        <v>0</v>
      </c>
      <c r="P38" s="16">
        <f t="shared" si="27"/>
        <v>1</v>
      </c>
      <c r="Q38" s="19">
        <v>1</v>
      </c>
      <c r="R38" s="19">
        <v>2</v>
      </c>
      <c r="S38" s="16">
        <f t="shared" si="28"/>
        <v>3</v>
      </c>
      <c r="T38" s="3">
        <f t="shared" si="29"/>
        <v>16</v>
      </c>
    </row>
    <row r="39" spans="1:21" x14ac:dyDescent="0.3">
      <c r="A39" s="29" t="s">
        <v>30</v>
      </c>
      <c r="B39" s="19">
        <f>5723+28+154</f>
        <v>5905</v>
      </c>
      <c r="C39" s="19">
        <f>3590+34+28+28</f>
        <v>3680</v>
      </c>
      <c r="D39" s="16">
        <f t="shared" si="23"/>
        <v>9585</v>
      </c>
      <c r="E39" s="19">
        <f>4933+34+28+147</f>
        <v>5142</v>
      </c>
      <c r="F39" s="19">
        <f>2171+35+28</f>
        <v>2234</v>
      </c>
      <c r="G39" s="16">
        <f t="shared" si="24"/>
        <v>7376</v>
      </c>
      <c r="H39" s="19">
        <f>5108+28+34+84</f>
        <v>5254</v>
      </c>
      <c r="I39" s="19">
        <f>3216+28+28+28</f>
        <v>3300</v>
      </c>
      <c r="J39" s="19">
        <f t="shared" si="25"/>
        <v>8554</v>
      </c>
      <c r="K39" s="19">
        <f>3998+28+35+28+28</f>
        <v>4117</v>
      </c>
      <c r="L39" s="19">
        <v>2898</v>
      </c>
      <c r="M39" s="16">
        <f t="shared" si="26"/>
        <v>7015</v>
      </c>
      <c r="N39" s="19">
        <f>4575+28+35+28+28</f>
        <v>4694</v>
      </c>
      <c r="O39" s="19">
        <f>3266+28+28+28+35+35</f>
        <v>3420</v>
      </c>
      <c r="P39" s="16">
        <f t="shared" si="27"/>
        <v>8114</v>
      </c>
      <c r="Q39" s="19">
        <f>4225+35+28+28+29+28+27</f>
        <v>4400</v>
      </c>
      <c r="R39" s="19">
        <f>3666+5+28+26</f>
        <v>3725</v>
      </c>
      <c r="S39" s="16">
        <f t="shared" si="28"/>
        <v>8125</v>
      </c>
      <c r="T39" s="3">
        <f t="shared" si="29"/>
        <v>48769</v>
      </c>
    </row>
    <row r="40" spans="1:21" x14ac:dyDescent="0.3">
      <c r="A40" s="30" t="s">
        <v>31</v>
      </c>
      <c r="B40" s="20">
        <f>SUM(B31:B39)</f>
        <v>7805</v>
      </c>
      <c r="C40" s="20">
        <f>SUM(C31:C39)</f>
        <v>5110</v>
      </c>
      <c r="D40" s="15">
        <f>B40+C40</f>
        <v>12915</v>
      </c>
      <c r="E40" s="20">
        <f>SUM(E31:E39)</f>
        <v>6930</v>
      </c>
      <c r="F40" s="20">
        <f>SUM(F31:F39)</f>
        <v>3150</v>
      </c>
      <c r="G40" s="15">
        <f>E40+F40</f>
        <v>10080</v>
      </c>
      <c r="H40" s="20">
        <f>SUM(H31:H39)</f>
        <v>6965</v>
      </c>
      <c r="I40" s="20">
        <f>SUM(I31:I39)</f>
        <v>4445</v>
      </c>
      <c r="J40" s="20">
        <f>H40+I40</f>
        <v>11410</v>
      </c>
      <c r="K40" s="20">
        <f>SUM(K31:K39)</f>
        <v>5600</v>
      </c>
      <c r="L40" s="20">
        <f>SUM(L31:L39)</f>
        <v>4060</v>
      </c>
      <c r="M40" s="15">
        <f>K40+L40</f>
        <v>9660</v>
      </c>
      <c r="N40" s="20">
        <f>SUM(N31:N39)</f>
        <v>6405</v>
      </c>
      <c r="O40" s="20">
        <f>SUM(O31:O39)</f>
        <v>4725</v>
      </c>
      <c r="P40" s="15">
        <f>N40+O40</f>
        <v>11130</v>
      </c>
      <c r="Q40" s="20">
        <f>SUM(Q31:Q39)</f>
        <v>5880</v>
      </c>
      <c r="R40" s="20">
        <f>SUM(R31:R39)</f>
        <v>5180</v>
      </c>
      <c r="S40" s="15">
        <f>Q40+R40</f>
        <v>11060</v>
      </c>
      <c r="T40" s="3">
        <f>D40+G40+J40+M40+P40+S40</f>
        <v>66255</v>
      </c>
      <c r="U40" s="1" t="s">
        <v>24</v>
      </c>
    </row>
    <row r="41" spans="1:21" ht="9" customHeight="1" thickBot="1" x14ac:dyDescent="0.35">
      <c r="A41" s="35"/>
      <c r="B41" s="36"/>
      <c r="C41" s="36"/>
      <c r="D41" s="36"/>
      <c r="E41" s="36"/>
      <c r="F41" s="36"/>
      <c r="G41" s="36"/>
      <c r="H41" s="36"/>
      <c r="I41" s="36"/>
      <c r="J41" s="14"/>
      <c r="K41" s="36"/>
      <c r="L41" s="36"/>
      <c r="M41" s="36"/>
      <c r="N41" s="36"/>
      <c r="O41" s="36"/>
      <c r="P41" s="36"/>
      <c r="Q41" s="36"/>
      <c r="R41" s="36"/>
      <c r="S41" s="36"/>
      <c r="T41" s="7"/>
    </row>
    <row r="42" spans="1:21" ht="32.25" x14ac:dyDescent="0.3">
      <c r="A42" s="37" t="s">
        <v>45</v>
      </c>
      <c r="B42" s="24" t="s">
        <v>4</v>
      </c>
      <c r="C42" s="25" t="s">
        <v>5</v>
      </c>
      <c r="D42" s="25" t="s">
        <v>6</v>
      </c>
      <c r="E42" s="25" t="s">
        <v>7</v>
      </c>
      <c r="F42" s="25" t="s">
        <v>46</v>
      </c>
      <c r="G42" s="25" t="s">
        <v>9</v>
      </c>
      <c r="H42" s="25" t="s">
        <v>10</v>
      </c>
      <c r="I42" s="25" t="s">
        <v>11</v>
      </c>
      <c r="J42" s="24" t="s">
        <v>12</v>
      </c>
      <c r="K42" s="25" t="s">
        <v>13</v>
      </c>
      <c r="L42" s="25" t="s">
        <v>14</v>
      </c>
      <c r="M42" s="25" t="s">
        <v>15</v>
      </c>
      <c r="N42" s="25" t="s">
        <v>16</v>
      </c>
      <c r="O42" s="25" t="s">
        <v>17</v>
      </c>
      <c r="P42" s="25" t="s">
        <v>18</v>
      </c>
      <c r="Q42" s="25" t="s">
        <v>19</v>
      </c>
      <c r="R42" s="25" t="s">
        <v>20</v>
      </c>
      <c r="S42" s="25" t="s">
        <v>21</v>
      </c>
      <c r="T42" s="38" t="s">
        <v>31</v>
      </c>
    </row>
    <row r="43" spans="1:21" ht="7.5" customHeight="1" x14ac:dyDescent="0.3">
      <c r="A43" s="9"/>
      <c r="B43" s="14" t="s">
        <v>24</v>
      </c>
      <c r="C43" s="14" t="s">
        <v>24</v>
      </c>
      <c r="D43" s="14" t="s">
        <v>24</v>
      </c>
      <c r="E43" s="14" t="s">
        <v>24</v>
      </c>
      <c r="F43" s="14" t="s">
        <v>24</v>
      </c>
      <c r="G43" s="14" t="s">
        <v>24</v>
      </c>
      <c r="H43" s="14" t="s">
        <v>24</v>
      </c>
      <c r="I43" s="14" t="s">
        <v>24</v>
      </c>
      <c r="J43" s="14"/>
      <c r="K43" s="14" t="s">
        <v>24</v>
      </c>
      <c r="L43" s="14" t="s">
        <v>24</v>
      </c>
      <c r="M43" s="14" t="s">
        <v>24</v>
      </c>
      <c r="N43" s="14" t="s">
        <v>24</v>
      </c>
      <c r="O43" s="14" t="s">
        <v>24</v>
      </c>
      <c r="P43" s="14" t="s">
        <v>24</v>
      </c>
      <c r="Q43" s="14" t="s">
        <v>24</v>
      </c>
      <c r="R43" s="14" t="s">
        <v>24</v>
      </c>
      <c r="S43" s="14" t="s">
        <v>24</v>
      </c>
      <c r="T43" s="39" t="s">
        <v>24</v>
      </c>
    </row>
    <row r="44" spans="1:21" x14ac:dyDescent="0.3">
      <c r="A44" s="28" t="s">
        <v>23</v>
      </c>
      <c r="B44" s="19"/>
      <c r="C44" s="16"/>
      <c r="D44" s="16" t="s">
        <v>24</v>
      </c>
      <c r="E44" s="16"/>
      <c r="F44" s="16"/>
      <c r="G44" s="16" t="s">
        <v>24</v>
      </c>
      <c r="H44" s="16"/>
      <c r="I44" s="16"/>
      <c r="J44" s="19" t="s">
        <v>24</v>
      </c>
      <c r="K44" s="16"/>
      <c r="L44" s="16"/>
      <c r="M44" s="16" t="s">
        <v>24</v>
      </c>
      <c r="N44" s="16"/>
      <c r="O44" s="16"/>
      <c r="P44" s="16" t="s">
        <v>24</v>
      </c>
      <c r="Q44" s="16"/>
      <c r="R44" s="16"/>
      <c r="S44" s="16" t="s">
        <v>24</v>
      </c>
      <c r="T44" s="3" t="s">
        <v>24</v>
      </c>
    </row>
    <row r="45" spans="1:21" x14ac:dyDescent="0.3">
      <c r="A45" s="28" t="s">
        <v>47</v>
      </c>
      <c r="B45" s="20">
        <v>0</v>
      </c>
      <c r="C45" s="15">
        <v>0</v>
      </c>
      <c r="D45" s="16">
        <f t="shared" ref="D45:D53" si="30">B45+C45</f>
        <v>0</v>
      </c>
      <c r="E45" s="15">
        <v>0</v>
      </c>
      <c r="F45" s="15">
        <v>0</v>
      </c>
      <c r="G45" s="16">
        <f t="shared" ref="G45:G53" si="31">E45+F45</f>
        <v>0</v>
      </c>
      <c r="H45" s="15">
        <v>0</v>
      </c>
      <c r="I45" s="15">
        <v>0</v>
      </c>
      <c r="J45" s="19">
        <f t="shared" ref="J45:J53" si="32">H45+I45</f>
        <v>0</v>
      </c>
      <c r="K45" s="15">
        <v>0</v>
      </c>
      <c r="L45" s="15">
        <v>0</v>
      </c>
      <c r="M45" s="16">
        <f t="shared" ref="M45:M53" si="33">K45+L45</f>
        <v>0</v>
      </c>
      <c r="N45" s="15">
        <v>0</v>
      </c>
      <c r="O45" s="15">
        <v>0</v>
      </c>
      <c r="P45" s="16">
        <f t="shared" ref="P45:P53" si="34">N45+O45</f>
        <v>0</v>
      </c>
      <c r="Q45" s="15">
        <v>0</v>
      </c>
      <c r="R45" s="15">
        <v>0</v>
      </c>
      <c r="S45" s="16">
        <f t="shared" ref="S45:S53" si="35">Q45+R45</f>
        <v>0</v>
      </c>
      <c r="T45" s="3">
        <f t="shared" ref="T45:T53" si="36">D45+G45+J45+M45+P45+S45</f>
        <v>0</v>
      </c>
    </row>
    <row r="46" spans="1:21" x14ac:dyDescent="0.3">
      <c r="A46" s="28" t="s">
        <v>48</v>
      </c>
      <c r="B46" s="19">
        <v>0</v>
      </c>
      <c r="C46" s="16">
        <v>0</v>
      </c>
      <c r="D46" s="16">
        <f t="shared" si="30"/>
        <v>0</v>
      </c>
      <c r="E46" s="16">
        <v>0</v>
      </c>
      <c r="F46" s="16">
        <v>0</v>
      </c>
      <c r="G46" s="16">
        <f t="shared" si="31"/>
        <v>0</v>
      </c>
      <c r="H46" s="16">
        <v>0</v>
      </c>
      <c r="I46" s="16">
        <v>0</v>
      </c>
      <c r="J46" s="19">
        <f t="shared" si="32"/>
        <v>0</v>
      </c>
      <c r="K46" s="16">
        <v>0</v>
      </c>
      <c r="L46" s="16">
        <v>2</v>
      </c>
      <c r="M46" s="16">
        <f t="shared" si="33"/>
        <v>2</v>
      </c>
      <c r="N46" s="16">
        <v>0</v>
      </c>
      <c r="O46" s="16">
        <v>0</v>
      </c>
      <c r="P46" s="16">
        <f t="shared" si="34"/>
        <v>0</v>
      </c>
      <c r="Q46" s="16">
        <v>1</v>
      </c>
      <c r="R46" s="16">
        <v>0</v>
      </c>
      <c r="S46" s="16">
        <f t="shared" si="35"/>
        <v>1</v>
      </c>
      <c r="T46" s="3">
        <f t="shared" si="36"/>
        <v>3</v>
      </c>
    </row>
    <row r="47" spans="1:21" x14ac:dyDescent="0.3">
      <c r="A47" s="28" t="s">
        <v>49</v>
      </c>
      <c r="B47" s="19">
        <v>1</v>
      </c>
      <c r="C47" s="16">
        <v>0</v>
      </c>
      <c r="D47" s="16">
        <f t="shared" si="30"/>
        <v>1</v>
      </c>
      <c r="E47" s="16">
        <v>0</v>
      </c>
      <c r="F47" s="16">
        <v>0</v>
      </c>
      <c r="G47" s="16">
        <f t="shared" si="31"/>
        <v>0</v>
      </c>
      <c r="H47" s="16">
        <v>2</v>
      </c>
      <c r="I47" s="16">
        <v>1</v>
      </c>
      <c r="J47" s="19">
        <f t="shared" si="32"/>
        <v>3</v>
      </c>
      <c r="K47" s="16">
        <v>0</v>
      </c>
      <c r="L47" s="16">
        <v>1</v>
      </c>
      <c r="M47" s="16">
        <f t="shared" si="33"/>
        <v>1</v>
      </c>
      <c r="N47" s="16">
        <v>0</v>
      </c>
      <c r="O47" s="16">
        <v>1</v>
      </c>
      <c r="P47" s="16">
        <f t="shared" si="34"/>
        <v>1</v>
      </c>
      <c r="Q47" s="16">
        <v>1</v>
      </c>
      <c r="R47" s="16">
        <v>1</v>
      </c>
      <c r="S47" s="16">
        <f t="shared" si="35"/>
        <v>2</v>
      </c>
      <c r="T47" s="3">
        <f t="shared" si="36"/>
        <v>8</v>
      </c>
    </row>
    <row r="48" spans="1:21" x14ac:dyDescent="0.3">
      <c r="A48" s="28" t="s">
        <v>50</v>
      </c>
      <c r="B48" s="19">
        <v>0</v>
      </c>
      <c r="C48" s="16">
        <v>0</v>
      </c>
      <c r="D48" s="16">
        <f t="shared" si="30"/>
        <v>0</v>
      </c>
      <c r="E48" s="16">
        <v>0</v>
      </c>
      <c r="F48" s="16">
        <v>0</v>
      </c>
      <c r="G48" s="16">
        <f t="shared" si="31"/>
        <v>0</v>
      </c>
      <c r="H48" s="16">
        <v>0</v>
      </c>
      <c r="I48" s="16">
        <v>0</v>
      </c>
      <c r="J48" s="19">
        <f t="shared" si="32"/>
        <v>0</v>
      </c>
      <c r="K48" s="16">
        <v>0</v>
      </c>
      <c r="L48" s="16">
        <v>0</v>
      </c>
      <c r="M48" s="16">
        <f t="shared" si="33"/>
        <v>0</v>
      </c>
      <c r="N48" s="16">
        <v>0</v>
      </c>
      <c r="O48" s="16">
        <v>0</v>
      </c>
      <c r="P48" s="16">
        <f t="shared" si="34"/>
        <v>0</v>
      </c>
      <c r="Q48" s="16">
        <v>0</v>
      </c>
      <c r="R48" s="16">
        <v>0</v>
      </c>
      <c r="S48" s="16">
        <f t="shared" si="35"/>
        <v>0</v>
      </c>
      <c r="T48" s="3">
        <f t="shared" si="36"/>
        <v>0</v>
      </c>
    </row>
    <row r="49" spans="1:20" x14ac:dyDescent="0.3">
      <c r="A49" s="28" t="s">
        <v>51</v>
      </c>
      <c r="B49" s="19">
        <v>0</v>
      </c>
      <c r="C49" s="16">
        <v>0</v>
      </c>
      <c r="D49" s="16">
        <f t="shared" si="30"/>
        <v>0</v>
      </c>
      <c r="E49" s="16">
        <v>0</v>
      </c>
      <c r="F49" s="16">
        <v>0</v>
      </c>
      <c r="G49" s="16">
        <f t="shared" si="31"/>
        <v>0</v>
      </c>
      <c r="H49" s="16">
        <v>0</v>
      </c>
      <c r="I49" s="16">
        <v>0</v>
      </c>
      <c r="J49" s="19">
        <f t="shared" si="32"/>
        <v>0</v>
      </c>
      <c r="K49" s="16">
        <v>0</v>
      </c>
      <c r="L49" s="16">
        <v>0</v>
      </c>
      <c r="M49" s="16">
        <f t="shared" si="33"/>
        <v>0</v>
      </c>
      <c r="N49" s="16">
        <v>0</v>
      </c>
      <c r="O49" s="16">
        <v>0</v>
      </c>
      <c r="P49" s="16">
        <f t="shared" si="34"/>
        <v>0</v>
      </c>
      <c r="Q49" s="16">
        <v>0</v>
      </c>
      <c r="R49" s="16">
        <v>0</v>
      </c>
      <c r="S49" s="16">
        <f t="shared" si="35"/>
        <v>0</v>
      </c>
      <c r="T49" s="3">
        <f t="shared" si="36"/>
        <v>0</v>
      </c>
    </row>
    <row r="50" spans="1:20" x14ac:dyDescent="0.3">
      <c r="A50" s="28" t="s">
        <v>28</v>
      </c>
      <c r="B50" s="19">
        <v>1</v>
      </c>
      <c r="C50" s="16">
        <v>2</v>
      </c>
      <c r="D50" s="16">
        <f t="shared" si="30"/>
        <v>3</v>
      </c>
      <c r="E50" s="16">
        <v>0</v>
      </c>
      <c r="F50" s="16">
        <v>0</v>
      </c>
      <c r="G50" s="16">
        <f t="shared" si="31"/>
        <v>0</v>
      </c>
      <c r="H50" s="16">
        <v>1</v>
      </c>
      <c r="I50" s="16">
        <v>0</v>
      </c>
      <c r="J50" s="19">
        <f t="shared" si="32"/>
        <v>1</v>
      </c>
      <c r="K50" s="16">
        <v>1</v>
      </c>
      <c r="L50" s="16">
        <v>0</v>
      </c>
      <c r="M50" s="16">
        <f t="shared" si="33"/>
        <v>1</v>
      </c>
      <c r="N50" s="16">
        <v>1</v>
      </c>
      <c r="O50" s="16">
        <v>0</v>
      </c>
      <c r="P50" s="16">
        <f t="shared" si="34"/>
        <v>1</v>
      </c>
      <c r="Q50" s="16">
        <v>2</v>
      </c>
      <c r="R50" s="16">
        <v>3</v>
      </c>
      <c r="S50" s="16">
        <f t="shared" si="35"/>
        <v>5</v>
      </c>
      <c r="T50" s="3">
        <f t="shared" si="36"/>
        <v>11</v>
      </c>
    </row>
    <row r="51" spans="1:20" x14ac:dyDescent="0.3">
      <c r="A51" s="29" t="s">
        <v>34</v>
      </c>
      <c r="B51" s="19">
        <v>0</v>
      </c>
      <c r="C51" s="16">
        <f>1-1</f>
        <v>0</v>
      </c>
      <c r="D51" s="16">
        <f t="shared" si="30"/>
        <v>0</v>
      </c>
      <c r="E51" s="16">
        <v>0</v>
      </c>
      <c r="F51" s="16">
        <v>0</v>
      </c>
      <c r="G51" s="16">
        <f t="shared" si="31"/>
        <v>0</v>
      </c>
      <c r="H51" s="16">
        <v>0</v>
      </c>
      <c r="I51" s="16">
        <v>0</v>
      </c>
      <c r="J51" s="19">
        <f t="shared" si="32"/>
        <v>0</v>
      </c>
      <c r="K51" s="16">
        <v>0</v>
      </c>
      <c r="L51" s="16">
        <v>0</v>
      </c>
      <c r="M51" s="16">
        <f t="shared" si="33"/>
        <v>0</v>
      </c>
      <c r="N51" s="16">
        <f>1</f>
        <v>1</v>
      </c>
      <c r="O51" s="16">
        <v>0</v>
      </c>
      <c r="P51" s="16">
        <f t="shared" si="34"/>
        <v>1</v>
      </c>
      <c r="Q51" s="16">
        <v>1</v>
      </c>
      <c r="R51" s="16">
        <v>0</v>
      </c>
      <c r="S51" s="16">
        <f t="shared" si="35"/>
        <v>1</v>
      </c>
      <c r="T51" s="3">
        <f t="shared" si="36"/>
        <v>2</v>
      </c>
    </row>
    <row r="52" spans="1:20" x14ac:dyDescent="0.3">
      <c r="A52" s="29" t="s">
        <v>30</v>
      </c>
      <c r="B52" s="19">
        <v>0</v>
      </c>
      <c r="C52" s="16">
        <f>1</f>
        <v>1</v>
      </c>
      <c r="D52" s="16">
        <f t="shared" si="30"/>
        <v>1</v>
      </c>
      <c r="E52" s="16">
        <v>2</v>
      </c>
      <c r="F52" s="16">
        <v>0</v>
      </c>
      <c r="G52" s="16">
        <f t="shared" si="31"/>
        <v>2</v>
      </c>
      <c r="H52" s="16">
        <v>1</v>
      </c>
      <c r="I52" s="16">
        <v>0</v>
      </c>
      <c r="J52" s="19">
        <f t="shared" si="32"/>
        <v>1</v>
      </c>
      <c r="K52" s="16">
        <v>0</v>
      </c>
      <c r="L52" s="16">
        <v>0</v>
      </c>
      <c r="M52" s="16">
        <v>0</v>
      </c>
      <c r="N52" s="16">
        <v>1</v>
      </c>
      <c r="O52" s="16">
        <v>0</v>
      </c>
      <c r="P52" s="16">
        <f t="shared" si="34"/>
        <v>1</v>
      </c>
      <c r="Q52" s="16">
        <v>0</v>
      </c>
      <c r="R52" s="16">
        <v>0</v>
      </c>
      <c r="S52" s="16">
        <f t="shared" si="35"/>
        <v>0</v>
      </c>
      <c r="T52" s="3">
        <f t="shared" si="36"/>
        <v>5</v>
      </c>
    </row>
    <row r="53" spans="1:20" x14ac:dyDescent="0.3">
      <c r="A53" s="30" t="s">
        <v>31</v>
      </c>
      <c r="B53" s="20">
        <f>SUM(B46:B52)</f>
        <v>2</v>
      </c>
      <c r="C53" s="15">
        <f>SUM(C46:C52)</f>
        <v>3</v>
      </c>
      <c r="D53" s="16">
        <f t="shared" si="30"/>
        <v>5</v>
      </c>
      <c r="E53" s="15">
        <f>SUM(E46:E52)</f>
        <v>2</v>
      </c>
      <c r="F53" s="15">
        <f>SUM(F46:F52)</f>
        <v>0</v>
      </c>
      <c r="G53" s="16">
        <f t="shared" si="31"/>
        <v>2</v>
      </c>
      <c r="H53" s="15">
        <f>SUM(H46:H52)</f>
        <v>4</v>
      </c>
      <c r="I53" s="15">
        <f>SUM(I46:I52)</f>
        <v>1</v>
      </c>
      <c r="J53" s="19">
        <f t="shared" si="32"/>
        <v>5</v>
      </c>
      <c r="K53" s="15">
        <f>SUM(K46:K52)</f>
        <v>1</v>
      </c>
      <c r="L53" s="15">
        <f>SUM(L46:L52)</f>
        <v>3</v>
      </c>
      <c r="M53" s="16">
        <f t="shared" si="33"/>
        <v>4</v>
      </c>
      <c r="N53" s="15">
        <f>SUM(N46:N52)</f>
        <v>3</v>
      </c>
      <c r="O53" s="15">
        <f>SUM(O46:O52)</f>
        <v>1</v>
      </c>
      <c r="P53" s="16">
        <f t="shared" si="34"/>
        <v>4</v>
      </c>
      <c r="Q53" s="15">
        <f>SUM(Q46:Q52)</f>
        <v>5</v>
      </c>
      <c r="R53" s="15">
        <f>SUM(R46:R52)</f>
        <v>4</v>
      </c>
      <c r="S53" s="16">
        <f t="shared" si="35"/>
        <v>9</v>
      </c>
      <c r="T53" s="3">
        <f t="shared" si="36"/>
        <v>29</v>
      </c>
    </row>
    <row r="54" spans="1:20" ht="9" customHeight="1" x14ac:dyDescent="0.3">
      <c r="A54" s="9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0"/>
    </row>
    <row r="55" spans="1:20" x14ac:dyDescent="0.3">
      <c r="A55" s="30" t="s">
        <v>32</v>
      </c>
      <c r="B55" s="19"/>
      <c r="C55" s="19"/>
      <c r="D55" s="16" t="s">
        <v>24</v>
      </c>
      <c r="E55" s="19"/>
      <c r="F55" s="19"/>
      <c r="G55" s="16" t="s">
        <v>24</v>
      </c>
      <c r="H55" s="19"/>
      <c r="I55" s="19"/>
      <c r="J55" s="19" t="s">
        <v>24</v>
      </c>
      <c r="K55" s="19"/>
      <c r="L55" s="19"/>
      <c r="M55" s="16" t="s">
        <v>24</v>
      </c>
      <c r="N55" s="19"/>
      <c r="O55" s="19"/>
      <c r="P55" s="16" t="s">
        <v>24</v>
      </c>
      <c r="Q55" s="19"/>
      <c r="R55" s="19"/>
      <c r="S55" s="16" t="s">
        <v>24</v>
      </c>
      <c r="T55" s="3" t="s">
        <v>24</v>
      </c>
    </row>
    <row r="56" spans="1:20" x14ac:dyDescent="0.3">
      <c r="A56" s="29" t="s">
        <v>52</v>
      </c>
      <c r="B56" s="19">
        <v>1</v>
      </c>
      <c r="C56" s="16">
        <v>0</v>
      </c>
      <c r="D56" s="16">
        <f t="shared" ref="D56:D58" si="37">B56+C56</f>
        <v>1</v>
      </c>
      <c r="E56" s="16">
        <v>0</v>
      </c>
      <c r="F56" s="16">
        <v>0</v>
      </c>
      <c r="G56" s="16">
        <f t="shared" ref="G56:G58" si="38">E56+F56</f>
        <v>0</v>
      </c>
      <c r="H56" s="16">
        <f>1-1</f>
        <v>0</v>
      </c>
      <c r="I56" s="16">
        <v>0</v>
      </c>
      <c r="J56" s="19">
        <f t="shared" ref="J56:J58" si="39">H56+I56</f>
        <v>0</v>
      </c>
      <c r="K56" s="16">
        <v>0</v>
      </c>
      <c r="L56" s="16">
        <v>1</v>
      </c>
      <c r="M56" s="16">
        <f t="shared" ref="M56:M58" si="40">K56+L56</f>
        <v>1</v>
      </c>
      <c r="N56" s="16">
        <v>1</v>
      </c>
      <c r="O56" s="16">
        <v>0</v>
      </c>
      <c r="P56" s="16">
        <f t="shared" ref="P56:P58" si="41">N56+O56</f>
        <v>1</v>
      </c>
      <c r="Q56" s="16">
        <v>1</v>
      </c>
      <c r="R56" s="16">
        <v>0</v>
      </c>
      <c r="S56" s="16">
        <f t="shared" ref="S56:S58" si="42">Q56+R56</f>
        <v>1</v>
      </c>
      <c r="T56" s="3">
        <f t="shared" ref="T56:T58" si="43">D56+G56+J56+M56+P56+S56</f>
        <v>4</v>
      </c>
    </row>
    <row r="57" spans="1:20" x14ac:dyDescent="0.3">
      <c r="A57" s="31" t="s">
        <v>30</v>
      </c>
      <c r="B57" s="19">
        <v>1</v>
      </c>
      <c r="C57" s="19">
        <v>3</v>
      </c>
      <c r="D57" s="16">
        <f t="shared" si="37"/>
        <v>4</v>
      </c>
      <c r="E57" s="19">
        <v>2</v>
      </c>
      <c r="F57" s="19">
        <v>0</v>
      </c>
      <c r="G57" s="16">
        <f t="shared" si="38"/>
        <v>2</v>
      </c>
      <c r="H57" s="19">
        <f>3+1</f>
        <v>4</v>
      </c>
      <c r="I57" s="19">
        <v>1</v>
      </c>
      <c r="J57" s="19">
        <f t="shared" si="39"/>
        <v>5</v>
      </c>
      <c r="K57" s="16">
        <v>1</v>
      </c>
      <c r="L57" s="16">
        <v>2</v>
      </c>
      <c r="M57" s="16">
        <f t="shared" si="40"/>
        <v>3</v>
      </c>
      <c r="N57" s="16">
        <f>1+1</f>
        <v>2</v>
      </c>
      <c r="O57" s="16">
        <v>1</v>
      </c>
      <c r="P57" s="16">
        <f t="shared" si="41"/>
        <v>3</v>
      </c>
      <c r="Q57" s="16">
        <v>4</v>
      </c>
      <c r="R57" s="16">
        <v>4</v>
      </c>
      <c r="S57" s="16">
        <f t="shared" si="42"/>
        <v>8</v>
      </c>
      <c r="T57" s="3">
        <f t="shared" si="43"/>
        <v>25</v>
      </c>
    </row>
    <row r="58" spans="1:20" x14ac:dyDescent="0.3">
      <c r="A58" s="30" t="s">
        <v>31</v>
      </c>
      <c r="B58" s="20">
        <f>SUM(B56:B57)</f>
        <v>2</v>
      </c>
      <c r="C58" s="20">
        <f t="shared" ref="C58:R58" si="44">SUM(C56:C57)</f>
        <v>3</v>
      </c>
      <c r="D58" s="16">
        <f t="shared" si="37"/>
        <v>5</v>
      </c>
      <c r="E58" s="20">
        <f t="shared" si="44"/>
        <v>2</v>
      </c>
      <c r="F58" s="20">
        <f t="shared" si="44"/>
        <v>0</v>
      </c>
      <c r="G58" s="16">
        <f t="shared" si="38"/>
        <v>2</v>
      </c>
      <c r="H58" s="20">
        <f t="shared" si="44"/>
        <v>4</v>
      </c>
      <c r="I58" s="20">
        <f t="shared" si="44"/>
        <v>1</v>
      </c>
      <c r="J58" s="19">
        <f t="shared" si="39"/>
        <v>5</v>
      </c>
      <c r="K58" s="20">
        <f t="shared" si="44"/>
        <v>1</v>
      </c>
      <c r="L58" s="20">
        <f t="shared" si="44"/>
        <v>3</v>
      </c>
      <c r="M58" s="16">
        <f t="shared" si="40"/>
        <v>4</v>
      </c>
      <c r="N58" s="20">
        <f t="shared" si="44"/>
        <v>3</v>
      </c>
      <c r="O58" s="20">
        <f t="shared" si="44"/>
        <v>1</v>
      </c>
      <c r="P58" s="16">
        <f t="shared" si="41"/>
        <v>4</v>
      </c>
      <c r="Q58" s="20">
        <f t="shared" si="44"/>
        <v>5</v>
      </c>
      <c r="R58" s="20">
        <f t="shared" si="44"/>
        <v>4</v>
      </c>
      <c r="S58" s="16">
        <f t="shared" si="42"/>
        <v>9</v>
      </c>
      <c r="T58" s="3">
        <f t="shared" si="43"/>
        <v>29</v>
      </c>
    </row>
    <row r="59" spans="1:20" ht="9" customHeight="1" x14ac:dyDescent="0.3">
      <c r="A59" s="9"/>
      <c r="B59" s="14" t="s">
        <v>24</v>
      </c>
      <c r="C59" s="14" t="s">
        <v>24</v>
      </c>
      <c r="D59" s="14" t="s">
        <v>24</v>
      </c>
      <c r="E59" s="14" t="s">
        <v>24</v>
      </c>
      <c r="F59" s="14" t="s">
        <v>24</v>
      </c>
      <c r="G59" s="14" t="s">
        <v>24</v>
      </c>
      <c r="H59" s="14" t="s">
        <v>24</v>
      </c>
      <c r="I59" s="14" t="s">
        <v>24</v>
      </c>
      <c r="J59" s="14"/>
      <c r="K59" s="14" t="s">
        <v>24</v>
      </c>
      <c r="L59" s="14" t="s">
        <v>24</v>
      </c>
      <c r="M59" s="14" t="s">
        <v>24</v>
      </c>
      <c r="N59" s="14" t="s">
        <v>24</v>
      </c>
      <c r="O59" s="14" t="s">
        <v>24</v>
      </c>
      <c r="P59" s="14" t="s">
        <v>24</v>
      </c>
      <c r="Q59" s="14" t="s">
        <v>24</v>
      </c>
      <c r="R59" s="14" t="s">
        <v>24</v>
      </c>
      <c r="S59" s="14" t="s">
        <v>24</v>
      </c>
      <c r="T59" s="10"/>
    </row>
    <row r="60" spans="1:20" x14ac:dyDescent="0.3">
      <c r="A60" s="30" t="s">
        <v>35</v>
      </c>
      <c r="B60" s="19"/>
      <c r="C60" s="19"/>
      <c r="D60" s="16" t="s">
        <v>24</v>
      </c>
      <c r="E60" s="19"/>
      <c r="F60" s="19"/>
      <c r="G60" s="16" t="s">
        <v>24</v>
      </c>
      <c r="H60" s="19"/>
      <c r="I60" s="19"/>
      <c r="J60" s="19" t="s">
        <v>24</v>
      </c>
      <c r="K60" s="19"/>
      <c r="L60" s="16"/>
      <c r="M60" s="16" t="s">
        <v>24</v>
      </c>
      <c r="N60" s="16"/>
      <c r="O60" s="16"/>
      <c r="P60" s="16" t="s">
        <v>24</v>
      </c>
      <c r="Q60" s="16"/>
      <c r="R60" s="16"/>
      <c r="S60" s="16" t="s">
        <v>24</v>
      </c>
      <c r="T60" s="3" t="s">
        <v>24</v>
      </c>
    </row>
    <row r="61" spans="1:20" x14ac:dyDescent="0.3">
      <c r="A61" s="29" t="s">
        <v>34</v>
      </c>
      <c r="B61" s="19">
        <v>1</v>
      </c>
      <c r="C61" s="16">
        <v>0</v>
      </c>
      <c r="D61" s="16">
        <f t="shared" ref="D61:D63" si="45">B61+C61</f>
        <v>1</v>
      </c>
      <c r="E61" s="16">
        <v>0</v>
      </c>
      <c r="F61" s="16">
        <v>0</v>
      </c>
      <c r="G61" s="16">
        <f t="shared" ref="G61:G63" si="46">E61+F61</f>
        <v>0</v>
      </c>
      <c r="H61" s="16">
        <f>1-1</f>
        <v>0</v>
      </c>
      <c r="I61" s="16">
        <v>0</v>
      </c>
      <c r="J61" s="19">
        <f t="shared" ref="J61:J63" si="47">H61+I61</f>
        <v>0</v>
      </c>
      <c r="K61" s="16">
        <v>0</v>
      </c>
      <c r="L61" s="16">
        <v>1</v>
      </c>
      <c r="M61" s="16">
        <f t="shared" ref="M61:M63" si="48">K61+L61</f>
        <v>1</v>
      </c>
      <c r="N61" s="16">
        <v>1</v>
      </c>
      <c r="O61" s="16">
        <v>0</v>
      </c>
      <c r="P61" s="16">
        <f t="shared" ref="P61:P63" si="49">N61+O61</f>
        <v>1</v>
      </c>
      <c r="Q61" s="16">
        <f>2-1</f>
        <v>1</v>
      </c>
      <c r="R61" s="16">
        <v>0</v>
      </c>
      <c r="S61" s="16">
        <f t="shared" ref="S61:S63" si="50">Q61+R61</f>
        <v>1</v>
      </c>
      <c r="T61" s="3">
        <f t="shared" ref="T61:T63" si="51">D61+G61+J61+M61+P61+S61</f>
        <v>4</v>
      </c>
    </row>
    <row r="62" spans="1:20" x14ac:dyDescent="0.3">
      <c r="A62" s="31" t="s">
        <v>30</v>
      </c>
      <c r="B62" s="19">
        <v>1</v>
      </c>
      <c r="C62" s="19">
        <v>3</v>
      </c>
      <c r="D62" s="16">
        <f t="shared" si="45"/>
        <v>4</v>
      </c>
      <c r="E62" s="19">
        <v>2</v>
      </c>
      <c r="F62" s="19">
        <v>0</v>
      </c>
      <c r="G62" s="16">
        <f t="shared" si="46"/>
        <v>2</v>
      </c>
      <c r="H62" s="19">
        <f>3+1</f>
        <v>4</v>
      </c>
      <c r="I62" s="19">
        <v>1</v>
      </c>
      <c r="J62" s="19">
        <f t="shared" si="47"/>
        <v>5</v>
      </c>
      <c r="K62" s="19">
        <v>1</v>
      </c>
      <c r="L62" s="16">
        <v>2</v>
      </c>
      <c r="M62" s="16">
        <f t="shared" si="48"/>
        <v>3</v>
      </c>
      <c r="N62" s="16">
        <f>1+1</f>
        <v>2</v>
      </c>
      <c r="O62" s="16">
        <v>1</v>
      </c>
      <c r="P62" s="16">
        <f t="shared" si="49"/>
        <v>3</v>
      </c>
      <c r="Q62" s="16">
        <f>3+1</f>
        <v>4</v>
      </c>
      <c r="R62" s="16">
        <v>4</v>
      </c>
      <c r="S62" s="16">
        <f t="shared" si="50"/>
        <v>8</v>
      </c>
      <c r="T62" s="3">
        <f t="shared" si="51"/>
        <v>25</v>
      </c>
    </row>
    <row r="63" spans="1:20" x14ac:dyDescent="0.3">
      <c r="A63" s="30" t="s">
        <v>31</v>
      </c>
      <c r="B63" s="19">
        <f>SUM(B61:B62)</f>
        <v>2</v>
      </c>
      <c r="C63" s="19">
        <f t="shared" ref="C63:R63" si="52">SUM(C61:C62)</f>
        <v>3</v>
      </c>
      <c r="D63" s="16">
        <f t="shared" si="45"/>
        <v>5</v>
      </c>
      <c r="E63" s="19">
        <f t="shared" si="52"/>
        <v>2</v>
      </c>
      <c r="F63" s="19">
        <f t="shared" si="52"/>
        <v>0</v>
      </c>
      <c r="G63" s="16">
        <f t="shared" si="46"/>
        <v>2</v>
      </c>
      <c r="H63" s="19">
        <f t="shared" si="52"/>
        <v>4</v>
      </c>
      <c r="I63" s="19">
        <f t="shared" si="52"/>
        <v>1</v>
      </c>
      <c r="J63" s="19">
        <f t="shared" si="47"/>
        <v>5</v>
      </c>
      <c r="K63" s="19">
        <f t="shared" si="52"/>
        <v>1</v>
      </c>
      <c r="L63" s="19">
        <f t="shared" si="52"/>
        <v>3</v>
      </c>
      <c r="M63" s="16">
        <f t="shared" si="48"/>
        <v>4</v>
      </c>
      <c r="N63" s="19">
        <f t="shared" si="52"/>
        <v>3</v>
      </c>
      <c r="O63" s="19">
        <f t="shared" si="52"/>
        <v>1</v>
      </c>
      <c r="P63" s="16">
        <f t="shared" si="49"/>
        <v>4</v>
      </c>
      <c r="Q63" s="19">
        <f t="shared" si="52"/>
        <v>5</v>
      </c>
      <c r="R63" s="19">
        <f t="shared" si="52"/>
        <v>4</v>
      </c>
      <c r="S63" s="16">
        <f t="shared" si="50"/>
        <v>9</v>
      </c>
      <c r="T63" s="3">
        <f t="shared" si="51"/>
        <v>29</v>
      </c>
    </row>
    <row r="64" spans="1:20" x14ac:dyDescent="0.3">
      <c r="A64" s="9"/>
      <c r="B64" s="14" t="s">
        <v>24</v>
      </c>
      <c r="C64" s="14" t="s">
        <v>24</v>
      </c>
      <c r="D64" s="14" t="s">
        <v>24</v>
      </c>
      <c r="E64" s="14" t="s">
        <v>24</v>
      </c>
      <c r="F64" s="14" t="s">
        <v>24</v>
      </c>
      <c r="G64" s="14" t="s">
        <v>24</v>
      </c>
      <c r="H64" s="14" t="s">
        <v>24</v>
      </c>
      <c r="I64" s="14" t="s">
        <v>24</v>
      </c>
      <c r="J64" s="14"/>
      <c r="K64" s="14" t="s">
        <v>24</v>
      </c>
      <c r="L64" s="14" t="s">
        <v>24</v>
      </c>
      <c r="M64" s="14" t="s">
        <v>24</v>
      </c>
      <c r="N64" s="14" t="s">
        <v>24</v>
      </c>
      <c r="O64" s="14" t="s">
        <v>24</v>
      </c>
      <c r="P64" s="14" t="s">
        <v>24</v>
      </c>
      <c r="Q64" s="14" t="s">
        <v>24</v>
      </c>
      <c r="R64" s="14" t="s">
        <v>24</v>
      </c>
      <c r="S64" s="14" t="s">
        <v>24</v>
      </c>
      <c r="T64" s="10"/>
    </row>
    <row r="65" spans="1:20" ht="19.5" customHeight="1" x14ac:dyDescent="0.3">
      <c r="A65" s="32" t="s">
        <v>53</v>
      </c>
      <c r="B65" s="19"/>
      <c r="C65" s="19"/>
      <c r="D65" s="16"/>
      <c r="E65" s="19"/>
      <c r="F65" s="19"/>
      <c r="G65" s="16"/>
      <c r="H65" s="19"/>
      <c r="I65" s="19"/>
      <c r="J65" s="19"/>
      <c r="K65" s="19"/>
      <c r="L65" s="19"/>
      <c r="M65" s="16"/>
      <c r="N65" s="19"/>
      <c r="O65" s="19"/>
      <c r="P65" s="16"/>
      <c r="Q65" s="19"/>
      <c r="R65" s="19"/>
      <c r="S65" s="16"/>
      <c r="T65" s="3">
        <f t="shared" ref="T65:T68" si="53">D65+G65+J65+M65+P65+S65</f>
        <v>0</v>
      </c>
    </row>
    <row r="66" spans="1:20" x14ac:dyDescent="0.3">
      <c r="A66" s="29" t="s">
        <v>52</v>
      </c>
      <c r="B66" s="19">
        <v>1</v>
      </c>
      <c r="C66" s="16">
        <v>0</v>
      </c>
      <c r="D66" s="16">
        <f t="shared" ref="D66:D68" si="54">B66+C66</f>
        <v>1</v>
      </c>
      <c r="E66" s="16">
        <v>0</v>
      </c>
      <c r="F66" s="16">
        <v>0</v>
      </c>
      <c r="G66" s="16">
        <f t="shared" ref="G66:G68" si="55">E66+F66</f>
        <v>0</v>
      </c>
      <c r="H66" s="16">
        <v>1</v>
      </c>
      <c r="I66" s="16">
        <v>0</v>
      </c>
      <c r="J66" s="19">
        <f t="shared" ref="J66:J68" si="56">H66+I66</f>
        <v>1</v>
      </c>
      <c r="K66" s="16">
        <v>0</v>
      </c>
      <c r="L66" s="16">
        <v>1</v>
      </c>
      <c r="M66" s="16">
        <f t="shared" ref="M66:M68" si="57">K66+L66</f>
        <v>1</v>
      </c>
      <c r="N66" s="16">
        <v>0</v>
      </c>
      <c r="O66" s="16">
        <v>0</v>
      </c>
      <c r="P66" s="16">
        <f t="shared" ref="P66:P68" si="58">N66+O66</f>
        <v>0</v>
      </c>
      <c r="Q66" s="16">
        <v>0</v>
      </c>
      <c r="R66" s="16">
        <v>0</v>
      </c>
      <c r="S66" s="16">
        <f t="shared" ref="S66:S68" si="59">Q66+R66</f>
        <v>0</v>
      </c>
      <c r="T66" s="3">
        <f t="shared" si="53"/>
        <v>3</v>
      </c>
    </row>
    <row r="67" spans="1:20" x14ac:dyDescent="0.3">
      <c r="A67" s="29" t="s">
        <v>30</v>
      </c>
      <c r="B67" s="19">
        <v>19</v>
      </c>
      <c r="C67" s="16">
        <v>30</v>
      </c>
      <c r="D67" s="16">
        <f t="shared" si="54"/>
        <v>49</v>
      </c>
      <c r="E67" s="16">
        <v>20</v>
      </c>
      <c r="F67" s="16">
        <v>0</v>
      </c>
      <c r="G67" s="16">
        <f t="shared" si="55"/>
        <v>20</v>
      </c>
      <c r="H67" s="16">
        <v>39</v>
      </c>
      <c r="I67" s="16">
        <v>10</v>
      </c>
      <c r="J67" s="19">
        <f t="shared" si="56"/>
        <v>49</v>
      </c>
      <c r="K67" s="16">
        <v>10</v>
      </c>
      <c r="L67" s="16">
        <v>29</v>
      </c>
      <c r="M67" s="16">
        <f t="shared" si="57"/>
        <v>39</v>
      </c>
      <c r="N67" s="16">
        <f>20+10</f>
        <v>30</v>
      </c>
      <c r="O67" s="16">
        <v>10</v>
      </c>
      <c r="P67" s="16">
        <f t="shared" si="58"/>
        <v>40</v>
      </c>
      <c r="Q67" s="16">
        <v>50</v>
      </c>
      <c r="R67" s="16">
        <v>40</v>
      </c>
      <c r="S67" s="16">
        <f t="shared" si="59"/>
        <v>90</v>
      </c>
      <c r="T67" s="3">
        <f t="shared" si="53"/>
        <v>287</v>
      </c>
    </row>
    <row r="68" spans="1:20" x14ac:dyDescent="0.3">
      <c r="A68" s="30" t="s">
        <v>31</v>
      </c>
      <c r="B68" s="19">
        <f>B66+B67</f>
        <v>20</v>
      </c>
      <c r="C68" s="19">
        <f>C66+C67</f>
        <v>30</v>
      </c>
      <c r="D68" s="16">
        <f t="shared" si="54"/>
        <v>50</v>
      </c>
      <c r="E68" s="19">
        <f t="shared" ref="E68:F68" si="60">E66+E67</f>
        <v>20</v>
      </c>
      <c r="F68" s="19">
        <f t="shared" si="60"/>
        <v>0</v>
      </c>
      <c r="G68" s="16">
        <f t="shared" si="55"/>
        <v>20</v>
      </c>
      <c r="H68" s="19">
        <f t="shared" ref="H68:I68" si="61">H66+H67</f>
        <v>40</v>
      </c>
      <c r="I68" s="19">
        <f t="shared" si="61"/>
        <v>10</v>
      </c>
      <c r="J68" s="19">
        <f t="shared" si="56"/>
        <v>50</v>
      </c>
      <c r="K68" s="19">
        <f t="shared" ref="K68:L68" si="62">K66+K67</f>
        <v>10</v>
      </c>
      <c r="L68" s="19">
        <f t="shared" si="62"/>
        <v>30</v>
      </c>
      <c r="M68" s="16">
        <f t="shared" si="57"/>
        <v>40</v>
      </c>
      <c r="N68" s="19">
        <f t="shared" ref="N68:O68" si="63">N66+N67</f>
        <v>30</v>
      </c>
      <c r="O68" s="19">
        <f t="shared" si="63"/>
        <v>10</v>
      </c>
      <c r="P68" s="16">
        <f t="shared" si="58"/>
        <v>40</v>
      </c>
      <c r="Q68" s="19">
        <f t="shared" ref="Q68:R68" si="64">Q66+Q67</f>
        <v>50</v>
      </c>
      <c r="R68" s="19">
        <f t="shared" si="64"/>
        <v>40</v>
      </c>
      <c r="S68" s="16">
        <f t="shared" si="59"/>
        <v>90</v>
      </c>
      <c r="T68" s="3">
        <f t="shared" si="53"/>
        <v>290</v>
      </c>
    </row>
    <row r="69" spans="1:20" ht="9" customHeight="1" thickBot="1" x14ac:dyDescent="0.35">
      <c r="A69" s="35"/>
      <c r="B69" s="36" t="s">
        <v>24</v>
      </c>
      <c r="C69" s="36" t="s">
        <v>24</v>
      </c>
      <c r="D69" s="36" t="s">
        <v>24</v>
      </c>
      <c r="E69" s="36" t="s">
        <v>24</v>
      </c>
      <c r="F69" s="36" t="s">
        <v>24</v>
      </c>
      <c r="G69" s="36" t="s">
        <v>24</v>
      </c>
      <c r="H69" s="36" t="s">
        <v>24</v>
      </c>
      <c r="I69" s="36" t="s">
        <v>24</v>
      </c>
      <c r="J69" s="14"/>
      <c r="K69" s="36" t="s">
        <v>24</v>
      </c>
      <c r="L69" s="36" t="s">
        <v>24</v>
      </c>
      <c r="M69" s="36" t="s">
        <v>24</v>
      </c>
      <c r="N69" s="36" t="s">
        <v>24</v>
      </c>
      <c r="O69" s="36" t="s">
        <v>24</v>
      </c>
      <c r="P69" s="36" t="s">
        <v>24</v>
      </c>
      <c r="Q69" s="36" t="s">
        <v>24</v>
      </c>
      <c r="R69" s="36" t="s">
        <v>24</v>
      </c>
      <c r="S69" s="36" t="s">
        <v>24</v>
      </c>
      <c r="T69" s="7"/>
    </row>
    <row r="70" spans="1:20" ht="32.25" x14ac:dyDescent="0.3">
      <c r="A70" s="40" t="s">
        <v>54</v>
      </c>
      <c r="B70" s="24" t="s">
        <v>4</v>
      </c>
      <c r="C70" s="25" t="s">
        <v>5</v>
      </c>
      <c r="D70" s="25" t="s">
        <v>6</v>
      </c>
      <c r="E70" s="25" t="s">
        <v>7</v>
      </c>
      <c r="F70" s="25" t="s">
        <v>46</v>
      </c>
      <c r="G70" s="25" t="s">
        <v>9</v>
      </c>
      <c r="H70" s="25" t="s">
        <v>10</v>
      </c>
      <c r="I70" s="25" t="s">
        <v>11</v>
      </c>
      <c r="J70" s="24" t="s">
        <v>12</v>
      </c>
      <c r="K70" s="25" t="s">
        <v>13</v>
      </c>
      <c r="L70" s="25" t="s">
        <v>14</v>
      </c>
      <c r="M70" s="25" t="s">
        <v>15</v>
      </c>
      <c r="N70" s="25" t="s">
        <v>16</v>
      </c>
      <c r="O70" s="25" t="s">
        <v>17</v>
      </c>
      <c r="P70" s="25" t="s">
        <v>18</v>
      </c>
      <c r="Q70" s="25" t="s">
        <v>19</v>
      </c>
      <c r="R70" s="25" t="s">
        <v>20</v>
      </c>
      <c r="S70" s="25" t="s">
        <v>21</v>
      </c>
      <c r="T70" s="38" t="s">
        <v>31</v>
      </c>
    </row>
    <row r="71" spans="1:20" ht="9" customHeight="1" x14ac:dyDescent="0.3">
      <c r="A71" s="27"/>
      <c r="B71" s="17"/>
      <c r="C71" s="17"/>
      <c r="D71" s="17"/>
      <c r="E71" s="17"/>
      <c r="F71" s="17"/>
      <c r="G71" s="17"/>
      <c r="H71" s="17"/>
      <c r="I71" s="17"/>
      <c r="J71" s="14"/>
      <c r="K71" s="17"/>
      <c r="L71" s="17"/>
      <c r="M71" s="17"/>
      <c r="N71" s="17"/>
      <c r="O71" s="17"/>
      <c r="P71" s="17"/>
      <c r="Q71" s="17"/>
      <c r="R71" s="17"/>
      <c r="S71" s="17"/>
      <c r="T71" s="10"/>
    </row>
    <row r="72" spans="1:20" x14ac:dyDescent="0.3">
      <c r="A72" s="28" t="s">
        <v>23</v>
      </c>
      <c r="B72" s="19"/>
      <c r="C72" s="16"/>
      <c r="D72" s="16"/>
      <c r="E72" s="16"/>
      <c r="F72" s="16"/>
      <c r="G72" s="16"/>
      <c r="H72" s="16"/>
      <c r="I72" s="16"/>
      <c r="J72" s="19"/>
      <c r="K72" s="16"/>
      <c r="L72" s="16"/>
      <c r="M72" s="16"/>
      <c r="N72" s="16"/>
      <c r="O72" s="16"/>
      <c r="P72" s="16"/>
      <c r="Q72" s="16"/>
      <c r="R72" s="16"/>
      <c r="S72" s="16"/>
      <c r="T72" s="3" t="s">
        <v>31</v>
      </c>
    </row>
    <row r="73" spans="1:20" ht="18.75" customHeight="1" x14ac:dyDescent="0.3">
      <c r="A73" s="28" t="s">
        <v>55</v>
      </c>
      <c r="B73" s="20">
        <f>3+1</f>
        <v>4</v>
      </c>
      <c r="C73" s="15">
        <v>5</v>
      </c>
      <c r="D73" s="16">
        <f t="shared" ref="D73:D83" si="65">B73+C73</f>
        <v>9</v>
      </c>
      <c r="E73" s="15">
        <v>2</v>
      </c>
      <c r="F73" s="15">
        <v>2</v>
      </c>
      <c r="G73" s="16">
        <f t="shared" ref="G73:G83" si="66">E73+F73</f>
        <v>4</v>
      </c>
      <c r="H73" s="15">
        <v>0</v>
      </c>
      <c r="I73" s="15">
        <v>3</v>
      </c>
      <c r="J73" s="19">
        <f t="shared" ref="J73:J83" si="67">H73+I73</f>
        <v>3</v>
      </c>
      <c r="K73" s="15">
        <v>2</v>
      </c>
      <c r="L73" s="15">
        <v>0</v>
      </c>
      <c r="M73" s="16">
        <f t="shared" ref="M73:M83" si="68">K73+L73</f>
        <v>2</v>
      </c>
      <c r="N73" s="15">
        <v>3</v>
      </c>
      <c r="O73" s="15">
        <v>0</v>
      </c>
      <c r="P73" s="16">
        <f t="shared" ref="P73:P83" si="69">N73+O73</f>
        <v>3</v>
      </c>
      <c r="Q73" s="15">
        <v>4</v>
      </c>
      <c r="R73" s="15">
        <v>2</v>
      </c>
      <c r="S73" s="16">
        <f t="shared" ref="S73:S83" si="70">Q73+R73</f>
        <v>6</v>
      </c>
      <c r="T73" s="3">
        <f t="shared" ref="T73:T82" si="71">D73+G73+J73+M73+P73+S73</f>
        <v>27</v>
      </c>
    </row>
    <row r="74" spans="1:20" x14ac:dyDescent="0.3">
      <c r="A74" s="28" t="s">
        <v>56</v>
      </c>
      <c r="B74" s="19">
        <v>1</v>
      </c>
      <c r="C74" s="16">
        <v>1</v>
      </c>
      <c r="D74" s="16">
        <f t="shared" si="65"/>
        <v>2</v>
      </c>
      <c r="E74" s="16">
        <v>0</v>
      </c>
      <c r="F74" s="16">
        <v>0</v>
      </c>
      <c r="G74" s="16">
        <f t="shared" si="66"/>
        <v>0</v>
      </c>
      <c r="H74" s="16">
        <v>0</v>
      </c>
      <c r="I74" s="16">
        <v>0</v>
      </c>
      <c r="J74" s="19">
        <f t="shared" si="67"/>
        <v>0</v>
      </c>
      <c r="K74" s="16">
        <v>0</v>
      </c>
      <c r="L74" s="16">
        <v>0</v>
      </c>
      <c r="M74" s="16">
        <f t="shared" si="68"/>
        <v>0</v>
      </c>
      <c r="N74" s="16">
        <v>0</v>
      </c>
      <c r="O74" s="16">
        <v>0</v>
      </c>
      <c r="P74" s="16">
        <f t="shared" si="69"/>
        <v>0</v>
      </c>
      <c r="Q74" s="16">
        <v>0</v>
      </c>
      <c r="R74" s="16">
        <v>0</v>
      </c>
      <c r="S74" s="16">
        <f t="shared" si="70"/>
        <v>0</v>
      </c>
      <c r="T74" s="3">
        <f t="shared" si="71"/>
        <v>2</v>
      </c>
    </row>
    <row r="75" spans="1:20" x14ac:dyDescent="0.3">
      <c r="A75" s="28" t="s">
        <v>57</v>
      </c>
      <c r="B75" s="19">
        <v>0</v>
      </c>
      <c r="C75" s="16">
        <v>1</v>
      </c>
      <c r="D75" s="16">
        <f t="shared" si="65"/>
        <v>1</v>
      </c>
      <c r="E75" s="16">
        <v>0</v>
      </c>
      <c r="F75" s="16">
        <v>0</v>
      </c>
      <c r="G75" s="16">
        <f t="shared" si="66"/>
        <v>0</v>
      </c>
      <c r="H75" s="16">
        <v>0</v>
      </c>
      <c r="I75" s="16">
        <v>0</v>
      </c>
      <c r="J75" s="19">
        <f t="shared" si="67"/>
        <v>0</v>
      </c>
      <c r="K75" s="16">
        <v>0</v>
      </c>
      <c r="L75" s="16">
        <v>0</v>
      </c>
      <c r="M75" s="16">
        <f t="shared" si="68"/>
        <v>0</v>
      </c>
      <c r="N75" s="16">
        <v>0</v>
      </c>
      <c r="O75" s="16">
        <v>0</v>
      </c>
      <c r="P75" s="16">
        <f t="shared" si="69"/>
        <v>0</v>
      </c>
      <c r="Q75" s="16">
        <v>4</v>
      </c>
      <c r="R75" s="16">
        <v>1</v>
      </c>
      <c r="S75" s="16">
        <f t="shared" si="70"/>
        <v>5</v>
      </c>
      <c r="T75" s="3">
        <f t="shared" si="71"/>
        <v>6</v>
      </c>
    </row>
    <row r="76" spans="1:20" x14ac:dyDescent="0.3">
      <c r="A76" s="28" t="s">
        <v>58</v>
      </c>
      <c r="B76" s="19">
        <v>0</v>
      </c>
      <c r="C76" s="16">
        <v>0</v>
      </c>
      <c r="D76" s="16">
        <f t="shared" si="65"/>
        <v>0</v>
      </c>
      <c r="E76" s="16">
        <v>0</v>
      </c>
      <c r="F76" s="16">
        <v>0</v>
      </c>
      <c r="G76" s="16">
        <f t="shared" si="66"/>
        <v>0</v>
      </c>
      <c r="H76" s="16">
        <v>0</v>
      </c>
      <c r="I76" s="16">
        <v>0</v>
      </c>
      <c r="J76" s="19">
        <f t="shared" si="67"/>
        <v>0</v>
      </c>
      <c r="K76" s="16">
        <v>0</v>
      </c>
      <c r="L76" s="16">
        <v>0</v>
      </c>
      <c r="M76" s="16">
        <f t="shared" si="68"/>
        <v>0</v>
      </c>
      <c r="N76" s="16">
        <v>0</v>
      </c>
      <c r="O76" s="16">
        <v>0</v>
      </c>
      <c r="P76" s="16">
        <f t="shared" si="69"/>
        <v>0</v>
      </c>
      <c r="Q76" s="16">
        <v>1</v>
      </c>
      <c r="R76" s="16">
        <v>0</v>
      </c>
      <c r="S76" s="16">
        <f t="shared" si="70"/>
        <v>1</v>
      </c>
      <c r="T76" s="3">
        <f t="shared" si="71"/>
        <v>1</v>
      </c>
    </row>
    <row r="77" spans="1:20" x14ac:dyDescent="0.3">
      <c r="A77" s="28" t="s">
        <v>59</v>
      </c>
      <c r="B77" s="19">
        <f>166+1+1</f>
        <v>168</v>
      </c>
      <c r="C77" s="16">
        <f>42+1</f>
        <v>43</v>
      </c>
      <c r="D77" s="16">
        <f t="shared" si="65"/>
        <v>211</v>
      </c>
      <c r="E77" s="16">
        <f>135+1+1</f>
        <v>137</v>
      </c>
      <c r="F77" s="16">
        <v>38</v>
      </c>
      <c r="G77" s="16">
        <f t="shared" si="66"/>
        <v>175</v>
      </c>
      <c r="H77" s="16">
        <f>157+1+3</f>
        <v>161</v>
      </c>
      <c r="I77" s="16">
        <v>38</v>
      </c>
      <c r="J77" s="19">
        <f t="shared" si="67"/>
        <v>199</v>
      </c>
      <c r="K77" s="16">
        <f>175+1</f>
        <v>176</v>
      </c>
      <c r="L77" s="16">
        <v>36</v>
      </c>
      <c r="M77" s="16">
        <f t="shared" si="68"/>
        <v>212</v>
      </c>
      <c r="N77" s="16">
        <f>190+1</f>
        <v>191</v>
      </c>
      <c r="O77" s="16">
        <f>24+1</f>
        <v>25</v>
      </c>
      <c r="P77" s="16">
        <f t="shared" si="69"/>
        <v>216</v>
      </c>
      <c r="Q77" s="16">
        <f>141+3</f>
        <v>144</v>
      </c>
      <c r="R77" s="16">
        <v>43</v>
      </c>
      <c r="S77" s="16">
        <f t="shared" si="70"/>
        <v>187</v>
      </c>
      <c r="T77" s="3">
        <f t="shared" si="71"/>
        <v>1200</v>
      </c>
    </row>
    <row r="78" spans="1:20" x14ac:dyDescent="0.3">
      <c r="A78" s="28" t="s">
        <v>60</v>
      </c>
      <c r="B78" s="19">
        <v>3</v>
      </c>
      <c r="C78" s="16">
        <v>0</v>
      </c>
      <c r="D78" s="16">
        <f t="shared" si="65"/>
        <v>3</v>
      </c>
      <c r="E78" s="16">
        <v>0</v>
      </c>
      <c r="F78" s="16">
        <v>1</v>
      </c>
      <c r="G78" s="16">
        <f t="shared" si="66"/>
        <v>1</v>
      </c>
      <c r="H78" s="16">
        <v>2</v>
      </c>
      <c r="I78" s="16">
        <v>0</v>
      </c>
      <c r="J78" s="19">
        <f t="shared" si="67"/>
        <v>2</v>
      </c>
      <c r="K78" s="16">
        <v>1</v>
      </c>
      <c r="L78" s="16">
        <v>0</v>
      </c>
      <c r="M78" s="16">
        <f t="shared" si="68"/>
        <v>1</v>
      </c>
      <c r="N78" s="16">
        <v>2</v>
      </c>
      <c r="O78" s="16">
        <v>1</v>
      </c>
      <c r="P78" s="16">
        <f t="shared" si="69"/>
        <v>3</v>
      </c>
      <c r="Q78" s="16">
        <v>3</v>
      </c>
      <c r="R78" s="16">
        <v>2</v>
      </c>
      <c r="S78" s="16">
        <f t="shared" si="70"/>
        <v>5</v>
      </c>
      <c r="T78" s="3">
        <f t="shared" si="71"/>
        <v>15</v>
      </c>
    </row>
    <row r="79" spans="1:20" x14ac:dyDescent="0.3">
      <c r="A79" s="28" t="s">
        <v>61</v>
      </c>
      <c r="B79" s="19">
        <f>151+1</f>
        <v>152</v>
      </c>
      <c r="C79" s="16">
        <f>81+1</f>
        <v>82</v>
      </c>
      <c r="D79" s="16">
        <f t="shared" si="65"/>
        <v>234</v>
      </c>
      <c r="E79" s="16">
        <f>163+1+2</f>
        <v>166</v>
      </c>
      <c r="F79" s="16">
        <v>65</v>
      </c>
      <c r="G79" s="16">
        <f t="shared" si="66"/>
        <v>231</v>
      </c>
      <c r="H79" s="16">
        <f>116+2</f>
        <v>118</v>
      </c>
      <c r="I79" s="16">
        <v>43</v>
      </c>
      <c r="J79" s="19">
        <f t="shared" si="67"/>
        <v>161</v>
      </c>
      <c r="K79" s="16">
        <f>119+1+2</f>
        <v>122</v>
      </c>
      <c r="L79" s="16">
        <f>54+1</f>
        <v>55</v>
      </c>
      <c r="M79" s="16">
        <f t="shared" si="68"/>
        <v>177</v>
      </c>
      <c r="N79" s="16">
        <v>123</v>
      </c>
      <c r="O79" s="16">
        <v>56</v>
      </c>
      <c r="P79" s="16">
        <f t="shared" si="69"/>
        <v>179</v>
      </c>
      <c r="Q79" s="16">
        <v>98</v>
      </c>
      <c r="R79" s="16">
        <v>54</v>
      </c>
      <c r="S79" s="16">
        <f t="shared" si="70"/>
        <v>152</v>
      </c>
      <c r="T79" s="3">
        <f t="shared" si="71"/>
        <v>1134</v>
      </c>
    </row>
    <row r="80" spans="1:20" x14ac:dyDescent="0.3">
      <c r="A80" s="28" t="s">
        <v>28</v>
      </c>
      <c r="B80" s="19">
        <v>2</v>
      </c>
      <c r="C80" s="16">
        <v>2</v>
      </c>
      <c r="D80" s="16">
        <f t="shared" si="65"/>
        <v>4</v>
      </c>
      <c r="E80" s="16">
        <v>0</v>
      </c>
      <c r="F80" s="16">
        <v>1</v>
      </c>
      <c r="G80" s="16">
        <f t="shared" si="66"/>
        <v>1</v>
      </c>
      <c r="H80" s="16">
        <v>4</v>
      </c>
      <c r="I80" s="16">
        <v>0</v>
      </c>
      <c r="J80" s="19">
        <f t="shared" si="67"/>
        <v>4</v>
      </c>
      <c r="K80" s="16">
        <f>1+1</f>
        <v>2</v>
      </c>
      <c r="L80" s="16">
        <v>1</v>
      </c>
      <c r="M80" s="16">
        <f t="shared" si="68"/>
        <v>3</v>
      </c>
      <c r="N80" s="16">
        <v>2</v>
      </c>
      <c r="O80" s="16">
        <v>4</v>
      </c>
      <c r="P80" s="16">
        <f t="shared" si="69"/>
        <v>6</v>
      </c>
      <c r="Q80" s="16">
        <v>5</v>
      </c>
      <c r="R80" s="16">
        <f>1+1</f>
        <v>2</v>
      </c>
      <c r="S80" s="16">
        <f t="shared" si="70"/>
        <v>7</v>
      </c>
      <c r="T80" s="3">
        <f t="shared" si="71"/>
        <v>25</v>
      </c>
    </row>
    <row r="81" spans="1:20" x14ac:dyDescent="0.3">
      <c r="A81" s="28" t="s">
        <v>62</v>
      </c>
      <c r="B81" s="19">
        <v>1</v>
      </c>
      <c r="C81" s="16">
        <v>1</v>
      </c>
      <c r="D81" s="16">
        <f t="shared" si="65"/>
        <v>2</v>
      </c>
      <c r="E81" s="16">
        <v>2</v>
      </c>
      <c r="F81" s="16">
        <v>0</v>
      </c>
      <c r="G81" s="16">
        <f t="shared" si="66"/>
        <v>2</v>
      </c>
      <c r="H81" s="16">
        <v>1</v>
      </c>
      <c r="I81" s="16">
        <v>0</v>
      </c>
      <c r="J81" s="19">
        <f t="shared" si="67"/>
        <v>1</v>
      </c>
      <c r="K81" s="16">
        <v>2</v>
      </c>
      <c r="L81" s="16">
        <v>0</v>
      </c>
      <c r="M81" s="16">
        <f t="shared" si="68"/>
        <v>2</v>
      </c>
      <c r="N81" s="16">
        <v>0</v>
      </c>
      <c r="O81" s="16">
        <v>0</v>
      </c>
      <c r="P81" s="16">
        <f t="shared" si="69"/>
        <v>0</v>
      </c>
      <c r="Q81" s="16">
        <v>1</v>
      </c>
      <c r="R81" s="16">
        <v>1</v>
      </c>
      <c r="S81" s="16">
        <f t="shared" si="70"/>
        <v>2</v>
      </c>
      <c r="T81" s="3">
        <f t="shared" si="71"/>
        <v>9</v>
      </c>
    </row>
    <row r="82" spans="1:20" x14ac:dyDescent="0.3">
      <c r="A82" s="29" t="s">
        <v>30</v>
      </c>
      <c r="B82" s="19">
        <v>0</v>
      </c>
      <c r="C82" s="16">
        <v>1</v>
      </c>
      <c r="D82" s="16">
        <f t="shared" si="65"/>
        <v>1</v>
      </c>
      <c r="E82" s="16">
        <v>0</v>
      </c>
      <c r="F82" s="16">
        <v>0</v>
      </c>
      <c r="G82" s="16">
        <f t="shared" si="66"/>
        <v>0</v>
      </c>
      <c r="H82" s="16">
        <v>0</v>
      </c>
      <c r="I82" s="16">
        <v>0</v>
      </c>
      <c r="J82" s="19">
        <f t="shared" si="67"/>
        <v>0</v>
      </c>
      <c r="K82" s="16">
        <v>0</v>
      </c>
      <c r="L82" s="16">
        <v>0</v>
      </c>
      <c r="M82" s="16">
        <f t="shared" si="68"/>
        <v>0</v>
      </c>
      <c r="N82" s="16">
        <v>1</v>
      </c>
      <c r="O82" s="16">
        <v>0</v>
      </c>
      <c r="P82" s="16">
        <f t="shared" si="69"/>
        <v>1</v>
      </c>
      <c r="Q82" s="16">
        <v>1</v>
      </c>
      <c r="R82" s="16">
        <v>0</v>
      </c>
      <c r="S82" s="16">
        <f t="shared" si="70"/>
        <v>1</v>
      </c>
      <c r="T82" s="3">
        <f t="shared" si="71"/>
        <v>3</v>
      </c>
    </row>
    <row r="83" spans="1:20" x14ac:dyDescent="0.3">
      <c r="A83" s="31" t="s">
        <v>31</v>
      </c>
      <c r="B83" s="20">
        <f>SUM(B73:B82)</f>
        <v>331</v>
      </c>
      <c r="C83" s="15">
        <f>SUM(C73:C82)</f>
        <v>136</v>
      </c>
      <c r="D83" s="16">
        <f t="shared" si="65"/>
        <v>467</v>
      </c>
      <c r="E83" s="15">
        <f>SUM(E73:E82)</f>
        <v>307</v>
      </c>
      <c r="F83" s="15">
        <f>SUM(F73:F82)</f>
        <v>107</v>
      </c>
      <c r="G83" s="16">
        <f t="shared" si="66"/>
        <v>414</v>
      </c>
      <c r="H83" s="15">
        <f t="shared" ref="H83" si="72">SUM(H74:H82)</f>
        <v>286</v>
      </c>
      <c r="I83" s="15">
        <f>SUM(I73:I82)</f>
        <v>84</v>
      </c>
      <c r="J83" s="19">
        <f t="shared" si="67"/>
        <v>370</v>
      </c>
      <c r="K83" s="15">
        <f>SUM(K73:K82)</f>
        <v>305</v>
      </c>
      <c r="L83" s="15">
        <f>SUM(L73:L82)</f>
        <v>92</v>
      </c>
      <c r="M83" s="16">
        <f t="shared" si="68"/>
        <v>397</v>
      </c>
      <c r="N83" s="15">
        <f>SUM(N73:N82)</f>
        <v>322</v>
      </c>
      <c r="O83" s="15">
        <f>SUM(O73:O82)</f>
        <v>86</v>
      </c>
      <c r="P83" s="16">
        <f t="shared" si="69"/>
        <v>408</v>
      </c>
      <c r="Q83" s="15">
        <f>SUM(Q73:Q82)</f>
        <v>261</v>
      </c>
      <c r="R83" s="15">
        <f>SUM(R73:R82)</f>
        <v>105</v>
      </c>
      <c r="S83" s="16">
        <f t="shared" si="70"/>
        <v>366</v>
      </c>
      <c r="T83" s="3">
        <f>D83+G83+J83+M83+P83+S83</f>
        <v>2422</v>
      </c>
    </row>
    <row r="84" spans="1:20" s="4" customFormat="1" ht="9" customHeight="1" x14ac:dyDescent="0.3">
      <c r="A84" s="9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39" t="s">
        <v>24</v>
      </c>
    </row>
    <row r="85" spans="1:20" x14ac:dyDescent="0.3">
      <c r="A85" s="30" t="s">
        <v>32</v>
      </c>
      <c r="B85" s="19"/>
      <c r="C85" s="19"/>
      <c r="D85" s="16" t="s">
        <v>24</v>
      </c>
      <c r="E85" s="19"/>
      <c r="F85" s="19"/>
      <c r="G85" s="16" t="s">
        <v>24</v>
      </c>
      <c r="H85" s="19"/>
      <c r="I85" s="19"/>
      <c r="J85" s="19" t="s">
        <v>24</v>
      </c>
      <c r="K85" s="19"/>
      <c r="L85" s="19"/>
      <c r="M85" s="16" t="s">
        <v>24</v>
      </c>
      <c r="N85" s="19"/>
      <c r="O85" s="19"/>
      <c r="P85" s="16" t="s">
        <v>24</v>
      </c>
      <c r="Q85" s="19"/>
      <c r="R85" s="19"/>
      <c r="S85" s="16" t="s">
        <v>24</v>
      </c>
      <c r="T85" s="3" t="s">
        <v>24</v>
      </c>
    </row>
    <row r="86" spans="1:20" x14ac:dyDescent="0.3">
      <c r="A86" s="28" t="s">
        <v>63</v>
      </c>
      <c r="B86" s="20">
        <f>227+3+1</f>
        <v>231</v>
      </c>
      <c r="C86" s="15">
        <f>86+1</f>
        <v>87</v>
      </c>
      <c r="D86" s="16">
        <f t="shared" ref="D86:D89" si="73">B86+C86</f>
        <v>318</v>
      </c>
      <c r="E86" s="15">
        <f>194+1+2</f>
        <v>197</v>
      </c>
      <c r="F86" s="15">
        <v>58</v>
      </c>
      <c r="G86" s="16">
        <f t="shared" ref="G86:G89" si="74">E86+F86</f>
        <v>255</v>
      </c>
      <c r="H86" s="15">
        <f>197+1+4</f>
        <v>202</v>
      </c>
      <c r="I86" s="15">
        <v>44</v>
      </c>
      <c r="J86" s="19">
        <f t="shared" ref="J86:J89" si="75">H86+I86</f>
        <v>246</v>
      </c>
      <c r="K86" s="15">
        <f>218+1+3</f>
        <v>222</v>
      </c>
      <c r="L86" s="15">
        <f>63+1</f>
        <v>64</v>
      </c>
      <c r="M86" s="16">
        <f t="shared" ref="M86:M89" si="76">K86+L86</f>
        <v>286</v>
      </c>
      <c r="N86" s="15">
        <f>245+1</f>
        <v>246</v>
      </c>
      <c r="O86" s="15">
        <f>50+1</f>
        <v>51</v>
      </c>
      <c r="P86" s="16">
        <f t="shared" ref="P86:P89" si="77">N86+O86</f>
        <v>297</v>
      </c>
      <c r="Q86" s="15">
        <f>188+3</f>
        <v>191</v>
      </c>
      <c r="R86" s="15">
        <f>74+1</f>
        <v>75</v>
      </c>
      <c r="S86" s="16">
        <f t="shared" ref="S86:S89" si="78">Q86+R86</f>
        <v>266</v>
      </c>
      <c r="T86" s="3">
        <f t="shared" ref="T86:T89" si="79">D86+G86+J86+M86+P86+S86</f>
        <v>1668</v>
      </c>
    </row>
    <row r="87" spans="1:20" x14ac:dyDescent="0.3">
      <c r="A87" s="29" t="s">
        <v>34</v>
      </c>
      <c r="B87" s="19">
        <v>1</v>
      </c>
      <c r="C87" s="16">
        <v>0</v>
      </c>
      <c r="D87" s="16">
        <f t="shared" si="73"/>
        <v>1</v>
      </c>
      <c r="E87" s="16">
        <f>4-1</f>
        <v>3</v>
      </c>
      <c r="F87" s="16">
        <v>0</v>
      </c>
      <c r="G87" s="16">
        <f t="shared" si="74"/>
        <v>3</v>
      </c>
      <c r="H87" s="16">
        <v>1</v>
      </c>
      <c r="I87" s="16">
        <f>1-1</f>
        <v>0</v>
      </c>
      <c r="J87" s="19">
        <f t="shared" si="75"/>
        <v>1</v>
      </c>
      <c r="K87" s="16">
        <v>1</v>
      </c>
      <c r="L87" s="16">
        <v>0</v>
      </c>
      <c r="M87" s="16">
        <f t="shared" si="76"/>
        <v>1</v>
      </c>
      <c r="N87" s="16">
        <f>3-3</f>
        <v>0</v>
      </c>
      <c r="O87" s="16">
        <v>1</v>
      </c>
      <c r="P87" s="16">
        <f t="shared" si="77"/>
        <v>1</v>
      </c>
      <c r="Q87" s="16">
        <v>2</v>
      </c>
      <c r="R87" s="16">
        <v>1</v>
      </c>
      <c r="S87" s="16">
        <f t="shared" si="78"/>
        <v>3</v>
      </c>
      <c r="T87" s="3">
        <f t="shared" si="79"/>
        <v>10</v>
      </c>
    </row>
    <row r="88" spans="1:20" x14ac:dyDescent="0.3">
      <c r="A88" s="31" t="s">
        <v>30</v>
      </c>
      <c r="B88" s="19">
        <v>99</v>
      </c>
      <c r="C88" s="19">
        <f>48+1</f>
        <v>49</v>
      </c>
      <c r="D88" s="16">
        <f t="shared" si="73"/>
        <v>148</v>
      </c>
      <c r="E88" s="19">
        <f>104+1+1+1</f>
        <v>107</v>
      </c>
      <c r="F88" s="19">
        <v>49</v>
      </c>
      <c r="G88" s="16">
        <f t="shared" si="74"/>
        <v>156</v>
      </c>
      <c r="H88" s="19">
        <f>82+1</f>
        <v>83</v>
      </c>
      <c r="I88" s="19">
        <f>39+1</f>
        <v>40</v>
      </c>
      <c r="J88" s="19">
        <f t="shared" si="75"/>
        <v>123</v>
      </c>
      <c r="K88" s="16">
        <f>81+1</f>
        <v>82</v>
      </c>
      <c r="L88" s="16">
        <v>28</v>
      </c>
      <c r="M88" s="16">
        <f t="shared" si="76"/>
        <v>110</v>
      </c>
      <c r="N88" s="16">
        <f>73+3</f>
        <v>76</v>
      </c>
      <c r="O88" s="16">
        <v>34</v>
      </c>
      <c r="P88" s="16">
        <f t="shared" si="77"/>
        <v>110</v>
      </c>
      <c r="Q88" s="16">
        <v>68</v>
      </c>
      <c r="R88" s="16">
        <v>29</v>
      </c>
      <c r="S88" s="16">
        <f t="shared" si="78"/>
        <v>97</v>
      </c>
      <c r="T88" s="3">
        <f t="shared" si="79"/>
        <v>744</v>
      </c>
    </row>
    <row r="89" spans="1:20" s="4" customFormat="1" x14ac:dyDescent="0.3">
      <c r="A89" s="30" t="s">
        <v>31</v>
      </c>
      <c r="B89" s="20">
        <f>SUM(B86:B88)</f>
        <v>331</v>
      </c>
      <c r="C89" s="20">
        <f>SUM(C86:C88)</f>
        <v>136</v>
      </c>
      <c r="D89" s="16">
        <f t="shared" si="73"/>
        <v>467</v>
      </c>
      <c r="E89" s="20">
        <f>SUM(E86:E88)</f>
        <v>307</v>
      </c>
      <c r="F89" s="20">
        <f>SUM(F86:F88)</f>
        <v>107</v>
      </c>
      <c r="G89" s="16">
        <f t="shared" si="74"/>
        <v>414</v>
      </c>
      <c r="H89" s="20">
        <f>SUM(H86:H88)</f>
        <v>286</v>
      </c>
      <c r="I89" s="20">
        <f>SUM(I86:I88)</f>
        <v>84</v>
      </c>
      <c r="J89" s="19">
        <f t="shared" si="75"/>
        <v>370</v>
      </c>
      <c r="K89" s="20">
        <f>SUM(K86:K88)</f>
        <v>305</v>
      </c>
      <c r="L89" s="20">
        <f>SUM(L86:L88)</f>
        <v>92</v>
      </c>
      <c r="M89" s="16">
        <f t="shared" si="76"/>
        <v>397</v>
      </c>
      <c r="N89" s="20">
        <f>SUM(N86:N88)</f>
        <v>322</v>
      </c>
      <c r="O89" s="20">
        <f>SUM(O86:O88)</f>
        <v>86</v>
      </c>
      <c r="P89" s="16">
        <f t="shared" si="77"/>
        <v>408</v>
      </c>
      <c r="Q89" s="20">
        <f>SUM(Q86:Q88)</f>
        <v>261</v>
      </c>
      <c r="R89" s="20">
        <f>SUM(R86:R88)</f>
        <v>105</v>
      </c>
      <c r="S89" s="16">
        <f t="shared" si="78"/>
        <v>366</v>
      </c>
      <c r="T89" s="3">
        <f t="shared" si="79"/>
        <v>2422</v>
      </c>
    </row>
    <row r="90" spans="1:20" ht="9" customHeight="1" x14ac:dyDescent="0.3">
      <c r="A90" s="9"/>
      <c r="B90" s="14" t="s">
        <v>24</v>
      </c>
      <c r="C90" s="14" t="s">
        <v>24</v>
      </c>
      <c r="D90" s="14" t="s">
        <v>24</v>
      </c>
      <c r="E90" s="14" t="s">
        <v>24</v>
      </c>
      <c r="F90" s="14" t="s">
        <v>24</v>
      </c>
      <c r="G90" s="14" t="s">
        <v>24</v>
      </c>
      <c r="H90" s="14" t="s">
        <v>24</v>
      </c>
      <c r="I90" s="14" t="s">
        <v>24</v>
      </c>
      <c r="J90" s="14"/>
      <c r="K90" s="14" t="s">
        <v>24</v>
      </c>
      <c r="L90" s="14" t="s">
        <v>24</v>
      </c>
      <c r="M90" s="14" t="s">
        <v>24</v>
      </c>
      <c r="N90" s="14" t="s">
        <v>24</v>
      </c>
      <c r="O90" s="14" t="s">
        <v>24</v>
      </c>
      <c r="P90" s="14" t="s">
        <v>24</v>
      </c>
      <c r="Q90" s="14" t="s">
        <v>24</v>
      </c>
      <c r="R90" s="14" t="s">
        <v>24</v>
      </c>
      <c r="S90" s="14" t="s">
        <v>24</v>
      </c>
      <c r="T90" s="39" t="s">
        <v>24</v>
      </c>
    </row>
    <row r="91" spans="1:20" x14ac:dyDescent="0.3">
      <c r="A91" s="30" t="s">
        <v>35</v>
      </c>
      <c r="B91" s="19"/>
      <c r="C91" s="19"/>
      <c r="D91" s="16" t="s">
        <v>24</v>
      </c>
      <c r="E91" s="19"/>
      <c r="F91" s="19"/>
      <c r="G91" s="16" t="s">
        <v>24</v>
      </c>
      <c r="H91" s="19"/>
      <c r="I91" s="19"/>
      <c r="J91" s="19" t="s">
        <v>24</v>
      </c>
      <c r="K91" s="19"/>
      <c r="L91" s="16"/>
      <c r="M91" s="16" t="s">
        <v>24</v>
      </c>
      <c r="N91" s="16"/>
      <c r="O91" s="16"/>
      <c r="P91" s="16" t="s">
        <v>24</v>
      </c>
      <c r="Q91" s="16"/>
      <c r="R91" s="16"/>
      <c r="S91" s="16" t="s">
        <v>24</v>
      </c>
      <c r="T91" s="3" t="s">
        <v>24</v>
      </c>
    </row>
    <row r="92" spans="1:20" x14ac:dyDescent="0.3">
      <c r="A92" s="28" t="s">
        <v>64</v>
      </c>
      <c r="B92" s="20">
        <v>123</v>
      </c>
      <c r="C92" s="15">
        <v>50</v>
      </c>
      <c r="D92" s="16">
        <f t="shared" ref="D92:D97" si="80">B92+C92</f>
        <v>173</v>
      </c>
      <c r="E92" s="15">
        <f>105+2</f>
        <v>107</v>
      </c>
      <c r="F92" s="15">
        <v>39</v>
      </c>
      <c r="G92" s="16">
        <f t="shared" ref="G92:G97" si="81">E92+F92</f>
        <v>146</v>
      </c>
      <c r="H92" s="15">
        <f>89+1+3</f>
        <v>93</v>
      </c>
      <c r="I92" s="15">
        <v>26</v>
      </c>
      <c r="J92" s="19">
        <f t="shared" ref="J92:J97" si="82">H92+I92</f>
        <v>119</v>
      </c>
      <c r="K92" s="15">
        <f>98+1+1</f>
        <v>100</v>
      </c>
      <c r="L92" s="15">
        <v>34</v>
      </c>
      <c r="M92" s="16">
        <f t="shared" ref="M92:M97" si="83">K92+L92</f>
        <v>134</v>
      </c>
      <c r="N92" s="15">
        <v>146</v>
      </c>
      <c r="O92" s="15">
        <f>34+1</f>
        <v>35</v>
      </c>
      <c r="P92" s="16">
        <f t="shared" ref="P92:P97" si="84">N92+O92</f>
        <v>181</v>
      </c>
      <c r="Q92" s="15">
        <f>104+3</f>
        <v>107</v>
      </c>
      <c r="R92" s="15">
        <v>39</v>
      </c>
      <c r="S92" s="16">
        <f t="shared" ref="S92:S97" si="85">Q92+R92</f>
        <v>146</v>
      </c>
      <c r="T92" s="3">
        <f t="shared" ref="T92:T97" si="86">D92+G92+J92+M92+P92+S92</f>
        <v>899</v>
      </c>
    </row>
    <row r="93" spans="1:20" x14ac:dyDescent="0.3">
      <c r="A93" s="28" t="s">
        <v>65</v>
      </c>
      <c r="B93" s="20">
        <f>65+2</f>
        <v>67</v>
      </c>
      <c r="C93" s="15">
        <v>25</v>
      </c>
      <c r="D93" s="16">
        <f t="shared" si="80"/>
        <v>92</v>
      </c>
      <c r="E93" s="15">
        <f>60+1</f>
        <v>61</v>
      </c>
      <c r="F93" s="15">
        <v>23</v>
      </c>
      <c r="G93" s="16">
        <f t="shared" si="81"/>
        <v>84</v>
      </c>
      <c r="H93" s="15">
        <v>62</v>
      </c>
      <c r="I93" s="15">
        <v>13</v>
      </c>
      <c r="J93" s="19">
        <f t="shared" si="82"/>
        <v>75</v>
      </c>
      <c r="K93" s="15">
        <f>50+2</f>
        <v>52</v>
      </c>
      <c r="L93" s="15">
        <f>22+1</f>
        <v>23</v>
      </c>
      <c r="M93" s="16">
        <f t="shared" si="83"/>
        <v>75</v>
      </c>
      <c r="N93" s="15">
        <f>54+1</f>
        <v>55</v>
      </c>
      <c r="O93" s="15">
        <v>10</v>
      </c>
      <c r="P93" s="16">
        <f t="shared" si="84"/>
        <v>65</v>
      </c>
      <c r="Q93" s="15">
        <v>44</v>
      </c>
      <c r="R93" s="15">
        <f>27+1</f>
        <v>28</v>
      </c>
      <c r="S93" s="16">
        <f t="shared" si="85"/>
        <v>72</v>
      </c>
      <c r="T93" s="3">
        <f t="shared" si="86"/>
        <v>463</v>
      </c>
    </row>
    <row r="94" spans="1:20" x14ac:dyDescent="0.3">
      <c r="A94" s="28" t="s">
        <v>66</v>
      </c>
      <c r="B94" s="19">
        <v>60</v>
      </c>
      <c r="C94" s="16">
        <v>9</v>
      </c>
      <c r="D94" s="16">
        <f t="shared" si="80"/>
        <v>69</v>
      </c>
      <c r="E94" s="16">
        <v>51</v>
      </c>
      <c r="F94" s="16">
        <v>8</v>
      </c>
      <c r="G94" s="16">
        <f t="shared" si="81"/>
        <v>59</v>
      </c>
      <c r="H94" s="16">
        <f>64+1</f>
        <v>65</v>
      </c>
      <c r="I94" s="16">
        <v>8</v>
      </c>
      <c r="J94" s="19">
        <f t="shared" si="82"/>
        <v>73</v>
      </c>
      <c r="K94" s="16">
        <v>83</v>
      </c>
      <c r="L94" s="16">
        <v>9</v>
      </c>
      <c r="M94" s="16">
        <f t="shared" si="83"/>
        <v>92</v>
      </c>
      <c r="N94" s="16">
        <v>70</v>
      </c>
      <c r="O94" s="16">
        <v>9</v>
      </c>
      <c r="P94" s="16">
        <f t="shared" si="84"/>
        <v>79</v>
      </c>
      <c r="Q94" s="16">
        <v>61</v>
      </c>
      <c r="R94" s="16">
        <v>9</v>
      </c>
      <c r="S94" s="16">
        <f t="shared" si="85"/>
        <v>70</v>
      </c>
      <c r="T94" s="3">
        <f t="shared" si="86"/>
        <v>442</v>
      </c>
    </row>
    <row r="95" spans="1:20" x14ac:dyDescent="0.3">
      <c r="A95" s="29" t="s">
        <v>34</v>
      </c>
      <c r="B95" s="19">
        <v>1</v>
      </c>
      <c r="C95" s="16">
        <f>1</f>
        <v>1</v>
      </c>
      <c r="D95" s="16">
        <f t="shared" si="80"/>
        <v>2</v>
      </c>
      <c r="E95" s="16">
        <v>0</v>
      </c>
      <c r="F95" s="16">
        <v>0</v>
      </c>
      <c r="G95" s="16">
        <f t="shared" si="81"/>
        <v>0</v>
      </c>
      <c r="H95" s="16">
        <v>1</v>
      </c>
      <c r="I95" s="16">
        <f>1-1</f>
        <v>0</v>
      </c>
      <c r="J95" s="19">
        <f t="shared" si="82"/>
        <v>1</v>
      </c>
      <c r="K95" s="16">
        <v>1</v>
      </c>
      <c r="L95" s="16">
        <v>0</v>
      </c>
      <c r="M95" s="16">
        <f t="shared" si="83"/>
        <v>1</v>
      </c>
      <c r="N95" s="16">
        <v>0</v>
      </c>
      <c r="O95" s="16">
        <v>1</v>
      </c>
      <c r="P95" s="16">
        <f t="shared" si="84"/>
        <v>1</v>
      </c>
      <c r="Q95" s="16">
        <v>2</v>
      </c>
      <c r="R95" s="16">
        <v>0</v>
      </c>
      <c r="S95" s="16">
        <f t="shared" si="85"/>
        <v>2</v>
      </c>
      <c r="T95" s="3">
        <f t="shared" si="86"/>
        <v>7</v>
      </c>
    </row>
    <row r="96" spans="1:20" x14ac:dyDescent="0.3">
      <c r="A96" s="31" t="s">
        <v>30</v>
      </c>
      <c r="B96" s="19">
        <f>78+1+1</f>
        <v>80</v>
      </c>
      <c r="C96" s="19">
        <f>50+1</f>
        <v>51</v>
      </c>
      <c r="D96" s="16">
        <f t="shared" si="80"/>
        <v>131</v>
      </c>
      <c r="E96" s="19">
        <f>86+1+1</f>
        <v>88</v>
      </c>
      <c r="F96" s="19">
        <v>37</v>
      </c>
      <c r="G96" s="16">
        <f t="shared" si="81"/>
        <v>125</v>
      </c>
      <c r="H96" s="19">
        <f>64+1</f>
        <v>65</v>
      </c>
      <c r="I96" s="19">
        <f>36+1</f>
        <v>37</v>
      </c>
      <c r="J96" s="19">
        <f t="shared" si="82"/>
        <v>102</v>
      </c>
      <c r="K96" s="19">
        <f>68+1</f>
        <v>69</v>
      </c>
      <c r="L96" s="16">
        <v>26</v>
      </c>
      <c r="M96" s="16">
        <f t="shared" si="83"/>
        <v>95</v>
      </c>
      <c r="N96" s="16">
        <v>51</v>
      </c>
      <c r="O96" s="16">
        <v>31</v>
      </c>
      <c r="P96" s="16">
        <f t="shared" si="84"/>
        <v>82</v>
      </c>
      <c r="Q96" s="16">
        <v>47</v>
      </c>
      <c r="R96" s="16">
        <v>29</v>
      </c>
      <c r="S96" s="16">
        <f t="shared" si="85"/>
        <v>76</v>
      </c>
      <c r="T96" s="3">
        <f t="shared" si="86"/>
        <v>611</v>
      </c>
    </row>
    <row r="97" spans="1:20" s="4" customFormat="1" x14ac:dyDescent="0.3">
      <c r="A97" s="30" t="s">
        <v>31</v>
      </c>
      <c r="B97" s="20">
        <f>SUM(B92:B96)</f>
        <v>331</v>
      </c>
      <c r="C97" s="20">
        <f>SUM(C92:C96)</f>
        <v>136</v>
      </c>
      <c r="D97" s="16">
        <f t="shared" si="80"/>
        <v>467</v>
      </c>
      <c r="E97" s="20">
        <f>SUM(E92:E96)</f>
        <v>307</v>
      </c>
      <c r="F97" s="20">
        <f>SUM(F92:F96)</f>
        <v>107</v>
      </c>
      <c r="G97" s="16">
        <f t="shared" si="81"/>
        <v>414</v>
      </c>
      <c r="H97" s="20">
        <f>SUM(H91:H96)</f>
        <v>286</v>
      </c>
      <c r="I97" s="20">
        <f>SUM(I92:I96)</f>
        <v>84</v>
      </c>
      <c r="J97" s="19">
        <f t="shared" si="82"/>
        <v>370</v>
      </c>
      <c r="K97" s="20">
        <f>SUM(K92:K96)</f>
        <v>305</v>
      </c>
      <c r="L97" s="20">
        <f>SUM(L92:L96)</f>
        <v>92</v>
      </c>
      <c r="M97" s="16">
        <f t="shared" si="83"/>
        <v>397</v>
      </c>
      <c r="N97" s="20">
        <f>SUM(N92:N96)</f>
        <v>322</v>
      </c>
      <c r="O97" s="20">
        <f>SUM(O92:O96)</f>
        <v>86</v>
      </c>
      <c r="P97" s="16">
        <f t="shared" si="84"/>
        <v>408</v>
      </c>
      <c r="Q97" s="20">
        <f>SUM(Q92:Q96)</f>
        <v>261</v>
      </c>
      <c r="R97" s="20">
        <f>SUM(R92:R96)</f>
        <v>105</v>
      </c>
      <c r="S97" s="16">
        <f t="shared" si="85"/>
        <v>366</v>
      </c>
      <c r="T97" s="3">
        <f t="shared" si="86"/>
        <v>2422</v>
      </c>
    </row>
    <row r="98" spans="1:20" ht="9" customHeight="1" x14ac:dyDescent="0.3">
      <c r="A98" s="9"/>
      <c r="B98" s="14" t="s">
        <v>24</v>
      </c>
      <c r="C98" s="14" t="s">
        <v>24</v>
      </c>
      <c r="D98" s="14" t="s">
        <v>24</v>
      </c>
      <c r="E98" s="14" t="s">
        <v>24</v>
      </c>
      <c r="F98" s="14" t="s">
        <v>24</v>
      </c>
      <c r="G98" s="14" t="s">
        <v>24</v>
      </c>
      <c r="H98" s="14" t="s">
        <v>24</v>
      </c>
      <c r="I98" s="14" t="s">
        <v>24</v>
      </c>
      <c r="J98" s="14"/>
      <c r="K98" s="14" t="s">
        <v>24</v>
      </c>
      <c r="L98" s="14" t="s">
        <v>24</v>
      </c>
      <c r="M98" s="14" t="s">
        <v>24</v>
      </c>
      <c r="N98" s="14" t="s">
        <v>24</v>
      </c>
      <c r="O98" s="14" t="s">
        <v>24</v>
      </c>
      <c r="P98" s="14" t="s">
        <v>24</v>
      </c>
      <c r="Q98" s="14" t="s">
        <v>24</v>
      </c>
      <c r="R98" s="14" t="s">
        <v>24</v>
      </c>
      <c r="S98" s="14" t="s">
        <v>24</v>
      </c>
      <c r="T98" s="10"/>
    </row>
    <row r="99" spans="1:20" s="4" customFormat="1" x14ac:dyDescent="0.3">
      <c r="A99" s="32" t="s">
        <v>67</v>
      </c>
      <c r="B99" s="19" t="s">
        <v>24</v>
      </c>
      <c r="C99" s="19" t="s">
        <v>24</v>
      </c>
      <c r="D99" s="16" t="s">
        <v>24</v>
      </c>
      <c r="E99" s="19" t="s">
        <v>24</v>
      </c>
      <c r="F99" s="19" t="s">
        <v>24</v>
      </c>
      <c r="G99" s="16" t="s">
        <v>24</v>
      </c>
      <c r="H99" s="19" t="s">
        <v>24</v>
      </c>
      <c r="I99" s="19" t="s">
        <v>24</v>
      </c>
      <c r="J99" s="19" t="s">
        <v>24</v>
      </c>
      <c r="K99" s="19" t="s">
        <v>24</v>
      </c>
      <c r="L99" s="19"/>
      <c r="M99" s="16" t="s">
        <v>24</v>
      </c>
      <c r="N99" s="19"/>
      <c r="O99" s="19"/>
      <c r="P99" s="16" t="s">
        <v>24</v>
      </c>
      <c r="Q99" s="19"/>
      <c r="R99" s="19"/>
      <c r="S99" s="16" t="s">
        <v>24</v>
      </c>
      <c r="T99" s="3" t="s">
        <v>24</v>
      </c>
    </row>
    <row r="100" spans="1:20" s="4" customFormat="1" x14ac:dyDescent="0.3">
      <c r="A100" s="31" t="s">
        <v>68</v>
      </c>
      <c r="B100" s="19">
        <f>158+141+2+1</f>
        <v>302</v>
      </c>
      <c r="C100" s="19">
        <f>67+65</f>
        <v>132</v>
      </c>
      <c r="D100" s="16">
        <f t="shared" ref="D100:D124" si="87">B100+C100</f>
        <v>434</v>
      </c>
      <c r="E100" s="19">
        <f>129+120+1</f>
        <v>250</v>
      </c>
      <c r="F100" s="19">
        <f>47+44</f>
        <v>91</v>
      </c>
      <c r="G100" s="16">
        <f t="shared" ref="G100:G124" si="88">E100+F100</f>
        <v>341</v>
      </c>
      <c r="H100" s="19">
        <f>137+124+4</f>
        <v>265</v>
      </c>
      <c r="I100" s="19">
        <f>48+48</f>
        <v>96</v>
      </c>
      <c r="J100" s="19">
        <f t="shared" ref="J100:J123" si="89">H100+I100</f>
        <v>361</v>
      </c>
      <c r="K100" s="19">
        <f>144+135+3</f>
        <v>282</v>
      </c>
      <c r="L100" s="19">
        <f>61+60</f>
        <v>121</v>
      </c>
      <c r="M100" s="16">
        <f t="shared" ref="M100:M124" si="90">K100+L100</f>
        <v>403</v>
      </c>
      <c r="N100" s="19">
        <f>155+144</f>
        <v>299</v>
      </c>
      <c r="O100" s="19">
        <f>46+41</f>
        <v>87</v>
      </c>
      <c r="P100" s="16">
        <f t="shared" ref="P100:P124" si="91">N100+O100</f>
        <v>386</v>
      </c>
      <c r="Q100" s="19">
        <f>122+111+1</f>
        <v>234</v>
      </c>
      <c r="R100" s="19">
        <f>54+53+1</f>
        <v>108</v>
      </c>
      <c r="S100" s="16">
        <f t="shared" ref="S100:S124" si="92">Q100+R100</f>
        <v>342</v>
      </c>
      <c r="T100" s="3">
        <f t="shared" ref="T100:T125" si="93">D100+G100+J100+M100+P100+S100</f>
        <v>2267</v>
      </c>
    </row>
    <row r="101" spans="1:20" s="4" customFormat="1" x14ac:dyDescent="0.3">
      <c r="A101" s="31" t="s">
        <v>69</v>
      </c>
      <c r="B101" s="19">
        <f>155+141+2+1</f>
        <v>299</v>
      </c>
      <c r="C101" s="19">
        <f>66+65</f>
        <v>131</v>
      </c>
      <c r="D101" s="16">
        <f t="shared" si="87"/>
        <v>430</v>
      </c>
      <c r="E101" s="19">
        <f>131+120+1</f>
        <v>252</v>
      </c>
      <c r="F101" s="19">
        <f>45+44</f>
        <v>89</v>
      </c>
      <c r="G101" s="16">
        <f t="shared" si="88"/>
        <v>341</v>
      </c>
      <c r="H101" s="19">
        <f>133+124+4</f>
        <v>261</v>
      </c>
      <c r="I101" s="19">
        <f>48+48</f>
        <v>96</v>
      </c>
      <c r="J101" s="19">
        <f t="shared" si="89"/>
        <v>357</v>
      </c>
      <c r="K101" s="19">
        <f>143+135+3</f>
        <v>281</v>
      </c>
      <c r="L101" s="19">
        <f>61+60+1</f>
        <v>122</v>
      </c>
      <c r="M101" s="16">
        <f t="shared" si="90"/>
        <v>403</v>
      </c>
      <c r="N101" s="19">
        <f>155+144</f>
        <v>299</v>
      </c>
      <c r="O101" s="19">
        <f>45+41</f>
        <v>86</v>
      </c>
      <c r="P101" s="16">
        <f t="shared" si="91"/>
        <v>385</v>
      </c>
      <c r="Q101" s="19">
        <f>121+111+2</f>
        <v>234</v>
      </c>
      <c r="R101" s="19">
        <f>55+53+1</f>
        <v>109</v>
      </c>
      <c r="S101" s="16">
        <f t="shared" si="92"/>
        <v>343</v>
      </c>
      <c r="T101" s="3">
        <f t="shared" si="93"/>
        <v>2259</v>
      </c>
    </row>
    <row r="102" spans="1:20" s="4" customFormat="1" x14ac:dyDescent="0.3">
      <c r="A102" s="31" t="s">
        <v>70</v>
      </c>
      <c r="B102" s="19">
        <f>156+141+2+1</f>
        <v>300</v>
      </c>
      <c r="C102" s="19">
        <f>66+65+1</f>
        <v>132</v>
      </c>
      <c r="D102" s="16">
        <f t="shared" si="87"/>
        <v>432</v>
      </c>
      <c r="E102" s="19">
        <f>136+120+1+2</f>
        <v>259</v>
      </c>
      <c r="F102" s="19">
        <f>46+44</f>
        <v>90</v>
      </c>
      <c r="G102" s="16">
        <f t="shared" si="88"/>
        <v>349</v>
      </c>
      <c r="H102" s="19">
        <f>133+124+4</f>
        <v>261</v>
      </c>
      <c r="I102" s="19">
        <f>49+48</f>
        <v>97</v>
      </c>
      <c r="J102" s="19">
        <f t="shared" si="89"/>
        <v>358</v>
      </c>
      <c r="K102" s="19">
        <f>143+135+3</f>
        <v>281</v>
      </c>
      <c r="L102" s="19">
        <f>62+60+1</f>
        <v>123</v>
      </c>
      <c r="M102" s="16">
        <f t="shared" si="90"/>
        <v>404</v>
      </c>
      <c r="N102" s="19">
        <f>156+144</f>
        <v>300</v>
      </c>
      <c r="O102" s="19">
        <f>46+41+1</f>
        <v>88</v>
      </c>
      <c r="P102" s="16">
        <f t="shared" si="91"/>
        <v>388</v>
      </c>
      <c r="Q102" s="19">
        <f>126+111+1</f>
        <v>238</v>
      </c>
      <c r="R102" s="19">
        <f>54+53+1</f>
        <v>108</v>
      </c>
      <c r="S102" s="16">
        <f t="shared" si="92"/>
        <v>346</v>
      </c>
      <c r="T102" s="3">
        <f t="shared" si="93"/>
        <v>2277</v>
      </c>
    </row>
    <row r="103" spans="1:20" s="4" customFormat="1" x14ac:dyDescent="0.3">
      <c r="A103" s="31" t="s">
        <v>71</v>
      </c>
      <c r="B103" s="19">
        <f>160+141+2+1</f>
        <v>304</v>
      </c>
      <c r="C103" s="19">
        <f>69+65</f>
        <v>134</v>
      </c>
      <c r="D103" s="16">
        <f t="shared" si="87"/>
        <v>438</v>
      </c>
      <c r="E103" s="19">
        <f>129+120+1</f>
        <v>250</v>
      </c>
      <c r="F103" s="19">
        <f>47+44</f>
        <v>91</v>
      </c>
      <c r="G103" s="16">
        <f t="shared" si="88"/>
        <v>341</v>
      </c>
      <c r="H103" s="19">
        <f>137+124+4</f>
        <v>265</v>
      </c>
      <c r="I103" s="19">
        <f>51+48</f>
        <v>99</v>
      </c>
      <c r="J103" s="19">
        <f t="shared" si="89"/>
        <v>364</v>
      </c>
      <c r="K103" s="19">
        <f>153+135+3</f>
        <v>291</v>
      </c>
      <c r="L103" s="19">
        <f>61+60+1</f>
        <v>122</v>
      </c>
      <c r="M103" s="16">
        <f t="shared" si="90"/>
        <v>413</v>
      </c>
      <c r="N103" s="19">
        <f>160+144</f>
        <v>304</v>
      </c>
      <c r="O103" s="19">
        <f>47+41</f>
        <v>88</v>
      </c>
      <c r="P103" s="16">
        <f t="shared" si="91"/>
        <v>392</v>
      </c>
      <c r="Q103" s="19">
        <f>125+111+2</f>
        <v>238</v>
      </c>
      <c r="R103" s="19">
        <f>54+53+1</f>
        <v>108</v>
      </c>
      <c r="S103" s="16">
        <f t="shared" si="92"/>
        <v>346</v>
      </c>
      <c r="T103" s="3">
        <f t="shared" si="93"/>
        <v>2294</v>
      </c>
    </row>
    <row r="104" spans="1:20" s="4" customFormat="1" x14ac:dyDescent="0.3">
      <c r="A104" s="31" t="s">
        <v>72</v>
      </c>
      <c r="B104" s="19">
        <f>172+141+3+1</f>
        <v>317</v>
      </c>
      <c r="C104" s="19">
        <f>67+65</f>
        <v>132</v>
      </c>
      <c r="D104" s="16">
        <f t="shared" si="87"/>
        <v>449</v>
      </c>
      <c r="E104" s="19">
        <f>139+120+1</f>
        <v>260</v>
      </c>
      <c r="F104" s="19">
        <f>50+44</f>
        <v>94</v>
      </c>
      <c r="G104" s="16">
        <f t="shared" si="88"/>
        <v>354</v>
      </c>
      <c r="H104" s="19">
        <f>141+124+4</f>
        <v>269</v>
      </c>
      <c r="I104" s="19">
        <f>51+48</f>
        <v>99</v>
      </c>
      <c r="J104" s="19">
        <f t="shared" si="89"/>
        <v>368</v>
      </c>
      <c r="K104" s="19">
        <f>151+135+3</f>
        <v>289</v>
      </c>
      <c r="L104" s="19">
        <f>61+60</f>
        <v>121</v>
      </c>
      <c r="M104" s="16">
        <f t="shared" si="90"/>
        <v>410</v>
      </c>
      <c r="N104" s="19">
        <f>164+144</f>
        <v>308</v>
      </c>
      <c r="O104" s="19">
        <f>47+41</f>
        <v>88</v>
      </c>
      <c r="P104" s="16">
        <f t="shared" si="91"/>
        <v>396</v>
      </c>
      <c r="Q104" s="19">
        <f>125+111</f>
        <v>236</v>
      </c>
      <c r="R104" s="19">
        <f>58+53+1</f>
        <v>112</v>
      </c>
      <c r="S104" s="16">
        <f t="shared" si="92"/>
        <v>348</v>
      </c>
      <c r="T104" s="3">
        <f t="shared" si="93"/>
        <v>2325</v>
      </c>
    </row>
    <row r="105" spans="1:20" s="4" customFormat="1" x14ac:dyDescent="0.3">
      <c r="A105" s="31" t="s">
        <v>73</v>
      </c>
      <c r="B105" s="19">
        <f>175+141+2+1</f>
        <v>319</v>
      </c>
      <c r="C105" s="19">
        <f>74+65</f>
        <v>139</v>
      </c>
      <c r="D105" s="16">
        <f t="shared" si="87"/>
        <v>458</v>
      </c>
      <c r="E105" s="19">
        <f>143+120+1+2</f>
        <v>266</v>
      </c>
      <c r="F105" s="19">
        <f>49+44</f>
        <v>93</v>
      </c>
      <c r="G105" s="16">
        <f t="shared" si="88"/>
        <v>359</v>
      </c>
      <c r="H105" s="19">
        <f>138+124+4</f>
        <v>266</v>
      </c>
      <c r="I105" s="19">
        <f>50+48</f>
        <v>98</v>
      </c>
      <c r="J105" s="19">
        <f t="shared" si="89"/>
        <v>364</v>
      </c>
      <c r="K105" s="19">
        <f>154+135+3</f>
        <v>292</v>
      </c>
      <c r="L105" s="19">
        <f>63+60+1</f>
        <v>124</v>
      </c>
      <c r="M105" s="16">
        <f t="shared" si="90"/>
        <v>416</v>
      </c>
      <c r="N105" s="19">
        <f>160+144</f>
        <v>304</v>
      </c>
      <c r="O105" s="19">
        <f>48+41</f>
        <v>89</v>
      </c>
      <c r="P105" s="16">
        <f t="shared" si="91"/>
        <v>393</v>
      </c>
      <c r="Q105" s="19">
        <f>131+111+1</f>
        <v>243</v>
      </c>
      <c r="R105" s="19">
        <f>56+53+1</f>
        <v>110</v>
      </c>
      <c r="S105" s="16">
        <f t="shared" si="92"/>
        <v>353</v>
      </c>
      <c r="T105" s="3">
        <f t="shared" si="93"/>
        <v>2343</v>
      </c>
    </row>
    <row r="106" spans="1:20" x14ac:dyDescent="0.3">
      <c r="A106" s="31" t="s">
        <v>74</v>
      </c>
      <c r="B106" s="19">
        <f>166+141+3+1</f>
        <v>311</v>
      </c>
      <c r="C106" s="19">
        <f>69+65</f>
        <v>134</v>
      </c>
      <c r="D106" s="16">
        <f t="shared" si="87"/>
        <v>445</v>
      </c>
      <c r="E106" s="19">
        <f>147+120+1</f>
        <v>268</v>
      </c>
      <c r="F106" s="19">
        <f>50+44</f>
        <v>94</v>
      </c>
      <c r="G106" s="16">
        <f t="shared" si="88"/>
        <v>362</v>
      </c>
      <c r="H106" s="19">
        <f>148+124+4</f>
        <v>276</v>
      </c>
      <c r="I106" s="19">
        <f>52+48</f>
        <v>100</v>
      </c>
      <c r="J106" s="19">
        <f t="shared" si="89"/>
        <v>376</v>
      </c>
      <c r="K106" s="19">
        <f>159+135+3</f>
        <v>297</v>
      </c>
      <c r="L106" s="19">
        <f>61+60+1</f>
        <v>122</v>
      </c>
      <c r="M106" s="16">
        <f t="shared" si="90"/>
        <v>419</v>
      </c>
      <c r="N106" s="19">
        <f>170+144</f>
        <v>314</v>
      </c>
      <c r="O106" s="19">
        <f>46+41</f>
        <v>87</v>
      </c>
      <c r="P106" s="16">
        <f t="shared" si="91"/>
        <v>401</v>
      </c>
      <c r="Q106" s="19">
        <f>128+111+1</f>
        <v>240</v>
      </c>
      <c r="R106" s="19">
        <f>60+53+1</f>
        <v>114</v>
      </c>
      <c r="S106" s="16">
        <f t="shared" si="92"/>
        <v>354</v>
      </c>
      <c r="T106" s="3">
        <f t="shared" si="93"/>
        <v>2357</v>
      </c>
    </row>
    <row r="107" spans="1:20" x14ac:dyDescent="0.3">
      <c r="A107" s="31" t="s">
        <v>75</v>
      </c>
      <c r="B107" s="19">
        <f>156+141+3+1</f>
        <v>301</v>
      </c>
      <c r="C107" s="19">
        <f>69+65</f>
        <v>134</v>
      </c>
      <c r="D107" s="16">
        <f t="shared" si="87"/>
        <v>435</v>
      </c>
      <c r="E107" s="19">
        <f>135+120+1+2</f>
        <v>258</v>
      </c>
      <c r="F107" s="19">
        <f>46+44</f>
        <v>90</v>
      </c>
      <c r="G107" s="16">
        <f t="shared" si="88"/>
        <v>348</v>
      </c>
      <c r="H107" s="19">
        <f>138+124+4</f>
        <v>266</v>
      </c>
      <c r="I107" s="19">
        <f>49+48</f>
        <v>97</v>
      </c>
      <c r="J107" s="19">
        <f t="shared" si="89"/>
        <v>363</v>
      </c>
      <c r="K107" s="19">
        <f>153+135+3</f>
        <v>291</v>
      </c>
      <c r="L107" s="19">
        <f>61+60+1</f>
        <v>122</v>
      </c>
      <c r="M107" s="16">
        <f t="shared" si="90"/>
        <v>413</v>
      </c>
      <c r="N107" s="19">
        <f>157+144</f>
        <v>301</v>
      </c>
      <c r="O107" s="19">
        <f>47+41+1</f>
        <v>89</v>
      </c>
      <c r="P107" s="16">
        <f t="shared" si="91"/>
        <v>390</v>
      </c>
      <c r="Q107" s="19">
        <f>133+111+1</f>
        <v>245</v>
      </c>
      <c r="R107" s="19">
        <f>55+53+1</f>
        <v>109</v>
      </c>
      <c r="S107" s="16">
        <f t="shared" si="92"/>
        <v>354</v>
      </c>
      <c r="T107" s="3">
        <f t="shared" si="93"/>
        <v>2303</v>
      </c>
    </row>
    <row r="108" spans="1:20" x14ac:dyDescent="0.3">
      <c r="A108" s="31" t="s">
        <v>76</v>
      </c>
      <c r="B108" s="19">
        <f>157+141+2+1</f>
        <v>301</v>
      </c>
      <c r="C108" s="19">
        <f>68+65</f>
        <v>133</v>
      </c>
      <c r="D108" s="16">
        <f t="shared" si="87"/>
        <v>434</v>
      </c>
      <c r="E108" s="19">
        <f>129+120+1+2</f>
        <v>252</v>
      </c>
      <c r="F108" s="19">
        <f>45+44</f>
        <v>89</v>
      </c>
      <c r="G108" s="16">
        <f t="shared" si="88"/>
        <v>341</v>
      </c>
      <c r="H108" s="19">
        <f>127+124+4</f>
        <v>255</v>
      </c>
      <c r="I108" s="19">
        <f>48+48</f>
        <v>96</v>
      </c>
      <c r="J108" s="19">
        <f t="shared" si="89"/>
        <v>351</v>
      </c>
      <c r="K108" s="19">
        <f>142+135+3</f>
        <v>280</v>
      </c>
      <c r="L108" s="19">
        <f>61+60</f>
        <v>121</v>
      </c>
      <c r="M108" s="16">
        <f t="shared" si="90"/>
        <v>401</v>
      </c>
      <c r="N108" s="19">
        <f>154+144</f>
        <v>298</v>
      </c>
      <c r="O108" s="19">
        <f>48+41</f>
        <v>89</v>
      </c>
      <c r="P108" s="16">
        <f t="shared" si="91"/>
        <v>387</v>
      </c>
      <c r="Q108" s="19">
        <f>120+111+2</f>
        <v>233</v>
      </c>
      <c r="R108" s="19">
        <f>55+53+1</f>
        <v>109</v>
      </c>
      <c r="S108" s="16">
        <f t="shared" si="92"/>
        <v>342</v>
      </c>
      <c r="T108" s="3">
        <f t="shared" si="93"/>
        <v>2256</v>
      </c>
    </row>
    <row r="109" spans="1:20" x14ac:dyDescent="0.3">
      <c r="A109" s="31" t="s">
        <v>77</v>
      </c>
      <c r="B109" s="19">
        <f>151+141+2+1</f>
        <v>295</v>
      </c>
      <c r="C109" s="19">
        <f>66+65</f>
        <v>131</v>
      </c>
      <c r="D109" s="16">
        <f t="shared" si="87"/>
        <v>426</v>
      </c>
      <c r="E109" s="19">
        <f>132+120+1+2</f>
        <v>255</v>
      </c>
      <c r="F109" s="19">
        <f>45+44</f>
        <v>89</v>
      </c>
      <c r="G109" s="16">
        <f t="shared" si="88"/>
        <v>344</v>
      </c>
      <c r="H109" s="19">
        <f>131+124+4</f>
        <v>259</v>
      </c>
      <c r="I109" s="19">
        <f>49+48</f>
        <v>97</v>
      </c>
      <c r="J109" s="19">
        <f t="shared" si="89"/>
        <v>356</v>
      </c>
      <c r="K109" s="19">
        <f>143+135+3</f>
        <v>281</v>
      </c>
      <c r="L109" s="19">
        <f>63+60+1</f>
        <v>124</v>
      </c>
      <c r="M109" s="16">
        <f t="shared" si="90"/>
        <v>405</v>
      </c>
      <c r="N109" s="19">
        <f>168+144</f>
        <v>312</v>
      </c>
      <c r="O109" s="19">
        <f>47+41+1</f>
        <v>89</v>
      </c>
      <c r="P109" s="16">
        <f t="shared" si="91"/>
        <v>401</v>
      </c>
      <c r="Q109" s="19">
        <f>133+111+1</f>
        <v>245</v>
      </c>
      <c r="R109" s="19">
        <f>56+53+1</f>
        <v>110</v>
      </c>
      <c r="S109" s="16">
        <f t="shared" si="92"/>
        <v>355</v>
      </c>
      <c r="T109" s="3">
        <f t="shared" si="93"/>
        <v>2287</v>
      </c>
    </row>
    <row r="110" spans="1:20" x14ac:dyDescent="0.3">
      <c r="A110" s="31" t="s">
        <v>78</v>
      </c>
      <c r="B110" s="19">
        <f>150+141+2+1</f>
        <v>294</v>
      </c>
      <c r="C110" s="19">
        <f>66+65</f>
        <v>131</v>
      </c>
      <c r="D110" s="16">
        <f t="shared" si="87"/>
        <v>425</v>
      </c>
      <c r="E110" s="19">
        <f>136+120+1</f>
        <v>257</v>
      </c>
      <c r="F110" s="19">
        <f>49+44</f>
        <v>93</v>
      </c>
      <c r="G110" s="16">
        <f t="shared" si="88"/>
        <v>350</v>
      </c>
      <c r="H110" s="19">
        <f>126+124+4</f>
        <v>254</v>
      </c>
      <c r="I110" s="19">
        <f>48+48</f>
        <v>96</v>
      </c>
      <c r="J110" s="19">
        <f t="shared" si="89"/>
        <v>350</v>
      </c>
      <c r="K110" s="19">
        <f>141+135+3</f>
        <v>279</v>
      </c>
      <c r="L110" s="19">
        <f>61+60+1</f>
        <v>122</v>
      </c>
      <c r="M110" s="16">
        <f t="shared" si="90"/>
        <v>401</v>
      </c>
      <c r="N110" s="19">
        <f>152+144</f>
        <v>296</v>
      </c>
      <c r="O110" s="19">
        <f>44+41</f>
        <v>85</v>
      </c>
      <c r="P110" s="16">
        <f t="shared" si="91"/>
        <v>381</v>
      </c>
      <c r="Q110" s="19">
        <f>121+111+1</f>
        <v>233</v>
      </c>
      <c r="R110" s="19">
        <f>55+53+1</f>
        <v>109</v>
      </c>
      <c r="S110" s="16">
        <f t="shared" si="92"/>
        <v>342</v>
      </c>
      <c r="T110" s="3">
        <f t="shared" si="93"/>
        <v>2249</v>
      </c>
    </row>
    <row r="111" spans="1:20" x14ac:dyDescent="0.3">
      <c r="A111" s="31" t="s">
        <v>79</v>
      </c>
      <c r="B111" s="19">
        <f>152+141+2+1</f>
        <v>296</v>
      </c>
      <c r="C111" s="19">
        <f>66+65</f>
        <v>131</v>
      </c>
      <c r="D111" s="16">
        <f t="shared" si="87"/>
        <v>427</v>
      </c>
      <c r="E111" s="19">
        <f>135+120+1</f>
        <v>256</v>
      </c>
      <c r="F111" s="19">
        <f>52+44</f>
        <v>96</v>
      </c>
      <c r="G111" s="16">
        <f t="shared" si="88"/>
        <v>352</v>
      </c>
      <c r="H111" s="19">
        <f>131+124+4</f>
        <v>259</v>
      </c>
      <c r="I111" s="19">
        <f>48+48</f>
        <v>96</v>
      </c>
      <c r="J111" s="19">
        <f t="shared" si="89"/>
        <v>355</v>
      </c>
      <c r="K111" s="19">
        <f>146+135+3</f>
        <v>284</v>
      </c>
      <c r="L111" s="19">
        <f>61+60</f>
        <v>121</v>
      </c>
      <c r="M111" s="16">
        <f t="shared" si="90"/>
        <v>405</v>
      </c>
      <c r="N111" s="19">
        <f>155+144</f>
        <v>299</v>
      </c>
      <c r="O111" s="19">
        <f>45+41+1</f>
        <v>87</v>
      </c>
      <c r="P111" s="16">
        <f t="shared" si="91"/>
        <v>386</v>
      </c>
      <c r="Q111" s="19">
        <f>122+111</f>
        <v>233</v>
      </c>
      <c r="R111" s="19">
        <f>56+53+1</f>
        <v>110</v>
      </c>
      <c r="S111" s="16">
        <f t="shared" si="92"/>
        <v>343</v>
      </c>
      <c r="T111" s="3">
        <f t="shared" si="93"/>
        <v>2268</v>
      </c>
    </row>
    <row r="112" spans="1:20" x14ac:dyDescent="0.3">
      <c r="A112" s="31" t="s">
        <v>80</v>
      </c>
      <c r="B112" s="19">
        <f>166+141+2+1</f>
        <v>310</v>
      </c>
      <c r="C112" s="19">
        <f>69+65</f>
        <v>134</v>
      </c>
      <c r="D112" s="16">
        <f t="shared" si="87"/>
        <v>444</v>
      </c>
      <c r="E112" s="19">
        <f>140+120+1+2</f>
        <v>263</v>
      </c>
      <c r="F112" s="19">
        <f>48+44</f>
        <v>92</v>
      </c>
      <c r="G112" s="16">
        <f t="shared" si="88"/>
        <v>355</v>
      </c>
      <c r="H112" s="19">
        <f>136+124+4</f>
        <v>264</v>
      </c>
      <c r="I112" s="19">
        <f>51+48</f>
        <v>99</v>
      </c>
      <c r="J112" s="19">
        <f t="shared" si="89"/>
        <v>363</v>
      </c>
      <c r="K112" s="19">
        <f>143+135+3</f>
        <v>281</v>
      </c>
      <c r="L112" s="19">
        <f>62+60+1</f>
        <v>123</v>
      </c>
      <c r="M112" s="16">
        <f t="shared" si="90"/>
        <v>404</v>
      </c>
      <c r="N112" s="19">
        <f>158+144+1</f>
        <v>303</v>
      </c>
      <c r="O112" s="19">
        <f>48+41</f>
        <v>89</v>
      </c>
      <c r="P112" s="16">
        <f t="shared" si="91"/>
        <v>392</v>
      </c>
      <c r="Q112" s="19">
        <f>126+111+1</f>
        <v>238</v>
      </c>
      <c r="R112" s="19">
        <f>55+53+1</f>
        <v>109</v>
      </c>
      <c r="S112" s="16">
        <f t="shared" si="92"/>
        <v>347</v>
      </c>
      <c r="T112" s="3">
        <f t="shared" si="93"/>
        <v>2305</v>
      </c>
    </row>
    <row r="113" spans="1:20" x14ac:dyDescent="0.3">
      <c r="A113" s="31" t="s">
        <v>81</v>
      </c>
      <c r="B113" s="19">
        <f>156+141+2+1</f>
        <v>300</v>
      </c>
      <c r="C113" s="19">
        <f>69+65</f>
        <v>134</v>
      </c>
      <c r="D113" s="16">
        <f t="shared" si="87"/>
        <v>434</v>
      </c>
      <c r="E113" s="19">
        <f>128+120+1</f>
        <v>249</v>
      </c>
      <c r="F113" s="19">
        <f>47+44</f>
        <v>91</v>
      </c>
      <c r="G113" s="16">
        <f t="shared" si="88"/>
        <v>340</v>
      </c>
      <c r="H113" s="19">
        <f>139+124+4</f>
        <v>267</v>
      </c>
      <c r="I113" s="19">
        <f>50+48</f>
        <v>98</v>
      </c>
      <c r="J113" s="19">
        <f t="shared" si="89"/>
        <v>365</v>
      </c>
      <c r="K113" s="19">
        <f>151+135+3</f>
        <v>289</v>
      </c>
      <c r="L113" s="19">
        <f>61+60</f>
        <v>121</v>
      </c>
      <c r="M113" s="16">
        <f t="shared" si="90"/>
        <v>410</v>
      </c>
      <c r="N113" s="19">
        <f>151+144</f>
        <v>295</v>
      </c>
      <c r="O113" s="19">
        <f>47+41</f>
        <v>88</v>
      </c>
      <c r="P113" s="16">
        <f t="shared" si="91"/>
        <v>383</v>
      </c>
      <c r="Q113" s="19">
        <f>117+111+1</f>
        <v>229</v>
      </c>
      <c r="R113" s="19">
        <f>54+53+1</f>
        <v>108</v>
      </c>
      <c r="S113" s="16">
        <f t="shared" si="92"/>
        <v>337</v>
      </c>
      <c r="T113" s="3">
        <f t="shared" si="93"/>
        <v>2269</v>
      </c>
    </row>
    <row r="114" spans="1:20" x14ac:dyDescent="0.3">
      <c r="A114" s="31" t="s">
        <v>82</v>
      </c>
      <c r="B114" s="19">
        <f>157+141+2+1</f>
        <v>301</v>
      </c>
      <c r="C114" s="19">
        <f>66+65</f>
        <v>131</v>
      </c>
      <c r="D114" s="16">
        <f t="shared" si="87"/>
        <v>432</v>
      </c>
      <c r="E114" s="19">
        <f>128+120+1+2</f>
        <v>251</v>
      </c>
      <c r="F114" s="19">
        <f>47+44</f>
        <v>91</v>
      </c>
      <c r="G114" s="16">
        <f t="shared" si="88"/>
        <v>342</v>
      </c>
      <c r="H114" s="19">
        <f>131+124+4</f>
        <v>259</v>
      </c>
      <c r="I114" s="19">
        <f>48+48</f>
        <v>96</v>
      </c>
      <c r="J114" s="19">
        <f t="shared" si="89"/>
        <v>355</v>
      </c>
      <c r="K114" s="19">
        <f>141+135+3</f>
        <v>279</v>
      </c>
      <c r="L114" s="19">
        <f>61+60</f>
        <v>121</v>
      </c>
      <c r="M114" s="16">
        <f t="shared" si="90"/>
        <v>400</v>
      </c>
      <c r="N114" s="19">
        <f>156+144</f>
        <v>300</v>
      </c>
      <c r="O114" s="19">
        <f>46+41</f>
        <v>87</v>
      </c>
      <c r="P114" s="16">
        <f t="shared" si="91"/>
        <v>387</v>
      </c>
      <c r="Q114" s="19">
        <f>123+111</f>
        <v>234</v>
      </c>
      <c r="R114" s="19">
        <f>58+53+1</f>
        <v>112</v>
      </c>
      <c r="S114" s="16">
        <f t="shared" si="92"/>
        <v>346</v>
      </c>
      <c r="T114" s="3">
        <f t="shared" si="93"/>
        <v>2262</v>
      </c>
    </row>
    <row r="115" spans="1:20" x14ac:dyDescent="0.3">
      <c r="A115" s="31" t="s">
        <v>83</v>
      </c>
      <c r="B115" s="19">
        <f>158+141+2+1</f>
        <v>302</v>
      </c>
      <c r="C115" s="19">
        <f>67+65</f>
        <v>132</v>
      </c>
      <c r="D115" s="16">
        <f t="shared" si="87"/>
        <v>434</v>
      </c>
      <c r="E115" s="19">
        <f>130+120+1+2</f>
        <v>253</v>
      </c>
      <c r="F115" s="19">
        <f>47+44</f>
        <v>91</v>
      </c>
      <c r="G115" s="16">
        <f t="shared" si="88"/>
        <v>344</v>
      </c>
      <c r="H115" s="19">
        <f>135+124+4</f>
        <v>263</v>
      </c>
      <c r="I115" s="19">
        <f>49+48</f>
        <v>97</v>
      </c>
      <c r="J115" s="19">
        <f t="shared" si="89"/>
        <v>360</v>
      </c>
      <c r="K115" s="19">
        <f>162+135+3</f>
        <v>300</v>
      </c>
      <c r="L115" s="19">
        <f>63+60</f>
        <v>123</v>
      </c>
      <c r="M115" s="16">
        <f t="shared" si="90"/>
        <v>423</v>
      </c>
      <c r="N115" s="19">
        <f>159+144</f>
        <v>303</v>
      </c>
      <c r="O115" s="19">
        <f>45+41</f>
        <v>86</v>
      </c>
      <c r="P115" s="16">
        <f t="shared" si="91"/>
        <v>389</v>
      </c>
      <c r="Q115" s="19">
        <f>119+111+1</f>
        <v>231</v>
      </c>
      <c r="R115" s="19">
        <f>54+53+1</f>
        <v>108</v>
      </c>
      <c r="S115" s="16">
        <f t="shared" si="92"/>
        <v>339</v>
      </c>
      <c r="T115" s="3">
        <f t="shared" si="93"/>
        <v>2289</v>
      </c>
    </row>
    <row r="116" spans="1:20" x14ac:dyDescent="0.3">
      <c r="A116" s="31" t="s">
        <v>84</v>
      </c>
      <c r="B116" s="19">
        <f>148+141+2+1</f>
        <v>292</v>
      </c>
      <c r="C116" s="19">
        <f>65+65</f>
        <v>130</v>
      </c>
      <c r="D116" s="16">
        <f t="shared" si="87"/>
        <v>422</v>
      </c>
      <c r="E116" s="19">
        <f>134+120+1+2</f>
        <v>257</v>
      </c>
      <c r="F116" s="19">
        <f>47+44</f>
        <v>91</v>
      </c>
      <c r="G116" s="16">
        <f t="shared" si="88"/>
        <v>348</v>
      </c>
      <c r="H116" s="19">
        <f>132+124+4</f>
        <v>260</v>
      </c>
      <c r="I116" s="19">
        <f>49+48</f>
        <v>97</v>
      </c>
      <c r="J116" s="19">
        <f t="shared" si="89"/>
        <v>357</v>
      </c>
      <c r="K116" s="19">
        <f>143+135+3</f>
        <v>281</v>
      </c>
      <c r="L116" s="19">
        <f>62+60+1</f>
        <v>123</v>
      </c>
      <c r="M116" s="16">
        <f t="shared" si="90"/>
        <v>404</v>
      </c>
      <c r="N116" s="19">
        <f>161+144</f>
        <v>305</v>
      </c>
      <c r="O116" s="19">
        <f>47+41+1</f>
        <v>89</v>
      </c>
      <c r="P116" s="16">
        <f t="shared" si="91"/>
        <v>394</v>
      </c>
      <c r="Q116" s="19">
        <f>120+111+1</f>
        <v>232</v>
      </c>
      <c r="R116" s="19">
        <f>55+53+1</f>
        <v>109</v>
      </c>
      <c r="S116" s="16">
        <f t="shared" si="92"/>
        <v>341</v>
      </c>
      <c r="T116" s="3">
        <f t="shared" si="93"/>
        <v>2266</v>
      </c>
    </row>
    <row r="117" spans="1:20" x14ac:dyDescent="0.3">
      <c r="A117" s="31" t="s">
        <v>85</v>
      </c>
      <c r="B117" s="19">
        <f>156+141+2+1</f>
        <v>300</v>
      </c>
      <c r="C117" s="19">
        <f>65+65</f>
        <v>130</v>
      </c>
      <c r="D117" s="16">
        <f t="shared" si="87"/>
        <v>430</v>
      </c>
      <c r="E117" s="19">
        <f>128+120+1+2</f>
        <v>251</v>
      </c>
      <c r="F117" s="19">
        <f>47+44</f>
        <v>91</v>
      </c>
      <c r="G117" s="16">
        <f t="shared" si="88"/>
        <v>342</v>
      </c>
      <c r="H117" s="19">
        <f>137+124+4</f>
        <v>265</v>
      </c>
      <c r="I117" s="19">
        <f>48+48</f>
        <v>96</v>
      </c>
      <c r="J117" s="19">
        <f t="shared" si="89"/>
        <v>361</v>
      </c>
      <c r="K117" s="19">
        <f>141+135+3</f>
        <v>279</v>
      </c>
      <c r="L117" s="19">
        <f>62+60+1</f>
        <v>123</v>
      </c>
      <c r="M117" s="16">
        <f t="shared" si="90"/>
        <v>402</v>
      </c>
      <c r="N117" s="19">
        <f>157+144</f>
        <v>301</v>
      </c>
      <c r="O117" s="19">
        <f>45+41+1</f>
        <v>87</v>
      </c>
      <c r="P117" s="16">
        <f t="shared" si="91"/>
        <v>388</v>
      </c>
      <c r="Q117" s="19">
        <f>121+111+2</f>
        <v>234</v>
      </c>
      <c r="R117" s="19">
        <f>56+53+1</f>
        <v>110</v>
      </c>
      <c r="S117" s="16">
        <f t="shared" si="92"/>
        <v>344</v>
      </c>
      <c r="T117" s="3">
        <f t="shared" si="93"/>
        <v>2267</v>
      </c>
    </row>
    <row r="118" spans="1:20" x14ac:dyDescent="0.3">
      <c r="A118" s="31" t="s">
        <v>86</v>
      </c>
      <c r="B118" s="19">
        <f>156+141+2+1</f>
        <v>300</v>
      </c>
      <c r="C118" s="19">
        <f>65+65</f>
        <v>130</v>
      </c>
      <c r="D118" s="16">
        <f t="shared" si="87"/>
        <v>430</v>
      </c>
      <c r="E118" s="19">
        <f>128+120+1+2</f>
        <v>251</v>
      </c>
      <c r="F118" s="19">
        <f>44+44</f>
        <v>88</v>
      </c>
      <c r="G118" s="16">
        <f t="shared" si="88"/>
        <v>339</v>
      </c>
      <c r="H118" s="19">
        <f>130+124+4</f>
        <v>258</v>
      </c>
      <c r="I118" s="19">
        <f>49+48</f>
        <v>97</v>
      </c>
      <c r="J118" s="19">
        <f t="shared" si="89"/>
        <v>355</v>
      </c>
      <c r="K118" s="19">
        <f>142+135+3</f>
        <v>280</v>
      </c>
      <c r="L118" s="19">
        <f>61+60</f>
        <v>121</v>
      </c>
      <c r="M118" s="16">
        <f t="shared" si="90"/>
        <v>401</v>
      </c>
      <c r="N118" s="19">
        <f>156+144</f>
        <v>300</v>
      </c>
      <c r="O118" s="19">
        <f>47+41</f>
        <v>88</v>
      </c>
      <c r="P118" s="16">
        <f t="shared" si="91"/>
        <v>388</v>
      </c>
      <c r="Q118" s="19">
        <f>116+111+1</f>
        <v>228</v>
      </c>
      <c r="R118" s="19">
        <f>53+53+1</f>
        <v>107</v>
      </c>
      <c r="S118" s="16">
        <f t="shared" si="92"/>
        <v>335</v>
      </c>
      <c r="T118" s="3">
        <f t="shared" si="93"/>
        <v>2248</v>
      </c>
    </row>
    <row r="119" spans="1:20" x14ac:dyDescent="0.3">
      <c r="A119" s="31" t="s">
        <v>87</v>
      </c>
      <c r="B119" s="19">
        <f>157+141+2+1</f>
        <v>301</v>
      </c>
      <c r="C119" s="19">
        <f>71+65</f>
        <v>136</v>
      </c>
      <c r="D119" s="16">
        <f t="shared" si="87"/>
        <v>437</v>
      </c>
      <c r="E119" s="19">
        <f>132+120+1</f>
        <v>253</v>
      </c>
      <c r="F119" s="19">
        <f>48+44</f>
        <v>92</v>
      </c>
      <c r="G119" s="16">
        <f t="shared" si="88"/>
        <v>345</v>
      </c>
      <c r="H119" s="19">
        <f>133+124+4</f>
        <v>261</v>
      </c>
      <c r="I119" s="19">
        <f>49+48</f>
        <v>97</v>
      </c>
      <c r="J119" s="19">
        <f t="shared" si="89"/>
        <v>358</v>
      </c>
      <c r="K119" s="19">
        <f>143+135+3</f>
        <v>281</v>
      </c>
      <c r="L119" s="19">
        <f>61+60+1</f>
        <v>122</v>
      </c>
      <c r="M119" s="16">
        <f t="shared" si="90"/>
        <v>403</v>
      </c>
      <c r="N119" s="19">
        <f>155+144</f>
        <v>299</v>
      </c>
      <c r="O119" s="19">
        <f>47+41</f>
        <v>88</v>
      </c>
      <c r="P119" s="16">
        <f t="shared" si="91"/>
        <v>387</v>
      </c>
      <c r="Q119" s="19">
        <f>124+111+1</f>
        <v>236</v>
      </c>
      <c r="R119" s="19">
        <f>53+53+1</f>
        <v>107</v>
      </c>
      <c r="S119" s="16">
        <f t="shared" si="92"/>
        <v>343</v>
      </c>
      <c r="T119" s="3">
        <f t="shared" si="93"/>
        <v>2273</v>
      </c>
    </row>
    <row r="120" spans="1:20" x14ac:dyDescent="0.3">
      <c r="A120" s="31" t="s">
        <v>88</v>
      </c>
      <c r="B120" s="19">
        <f>162+141+2+1</f>
        <v>306</v>
      </c>
      <c r="C120" s="19">
        <f>72+65</f>
        <v>137</v>
      </c>
      <c r="D120" s="16">
        <f t="shared" si="87"/>
        <v>443</v>
      </c>
      <c r="E120" s="19">
        <f>131+120+1</f>
        <v>252</v>
      </c>
      <c r="F120" s="19">
        <f>49+44</f>
        <v>93</v>
      </c>
      <c r="G120" s="16">
        <f t="shared" si="88"/>
        <v>345</v>
      </c>
      <c r="H120" s="19">
        <f>134+124+4</f>
        <v>262</v>
      </c>
      <c r="I120" s="19">
        <f>49+48</f>
        <v>97</v>
      </c>
      <c r="J120" s="19">
        <f t="shared" si="89"/>
        <v>359</v>
      </c>
      <c r="K120" s="19">
        <f>143+135+3</f>
        <v>281</v>
      </c>
      <c r="L120" s="19">
        <f>61+60</f>
        <v>121</v>
      </c>
      <c r="M120" s="16">
        <f t="shared" si="90"/>
        <v>402</v>
      </c>
      <c r="N120" s="19">
        <f>153+144</f>
        <v>297</v>
      </c>
      <c r="O120" s="19">
        <f>47+41</f>
        <v>88</v>
      </c>
      <c r="P120" s="16">
        <f t="shared" si="91"/>
        <v>385</v>
      </c>
      <c r="Q120" s="19">
        <f>127+111</f>
        <v>238</v>
      </c>
      <c r="R120" s="19">
        <f>54+53+1</f>
        <v>108</v>
      </c>
      <c r="S120" s="16">
        <f t="shared" si="92"/>
        <v>346</v>
      </c>
      <c r="T120" s="3">
        <f t="shared" si="93"/>
        <v>2280</v>
      </c>
    </row>
    <row r="121" spans="1:20" x14ac:dyDescent="0.3">
      <c r="A121" s="31" t="s">
        <v>89</v>
      </c>
      <c r="B121" s="19">
        <f>157+141+2+1</f>
        <v>301</v>
      </c>
      <c r="C121" s="19">
        <f>65+65</f>
        <v>130</v>
      </c>
      <c r="D121" s="16">
        <f t="shared" si="87"/>
        <v>431</v>
      </c>
      <c r="E121" s="19">
        <f>137+120+1+2</f>
        <v>260</v>
      </c>
      <c r="F121" s="19">
        <f>47+44</f>
        <v>91</v>
      </c>
      <c r="G121" s="16">
        <f t="shared" si="88"/>
        <v>351</v>
      </c>
      <c r="H121" s="19">
        <f>137+124+4</f>
        <v>265</v>
      </c>
      <c r="I121" s="19">
        <f>48+48</f>
        <v>96</v>
      </c>
      <c r="J121" s="19">
        <f t="shared" si="89"/>
        <v>361</v>
      </c>
      <c r="K121" s="19">
        <f>147+135+3</f>
        <v>285</v>
      </c>
      <c r="L121" s="19">
        <f>62+60+1</f>
        <v>123</v>
      </c>
      <c r="M121" s="16">
        <f t="shared" si="90"/>
        <v>408</v>
      </c>
      <c r="N121" s="19">
        <f>161+144</f>
        <v>305</v>
      </c>
      <c r="O121" s="19">
        <f>47+41+1</f>
        <v>89</v>
      </c>
      <c r="P121" s="16">
        <f t="shared" si="91"/>
        <v>394</v>
      </c>
      <c r="Q121" s="19">
        <f>127+111+1</f>
        <v>239</v>
      </c>
      <c r="R121" s="19">
        <f>53+53+1</f>
        <v>107</v>
      </c>
      <c r="S121" s="16">
        <f t="shared" si="92"/>
        <v>346</v>
      </c>
      <c r="T121" s="3">
        <f t="shared" si="93"/>
        <v>2291</v>
      </c>
    </row>
    <row r="122" spans="1:20" x14ac:dyDescent="0.3">
      <c r="A122" s="31" t="s">
        <v>90</v>
      </c>
      <c r="B122" s="19">
        <f>155+141+2+1</f>
        <v>299</v>
      </c>
      <c r="C122" s="19">
        <f>65+65</f>
        <v>130</v>
      </c>
      <c r="D122" s="16">
        <f t="shared" si="87"/>
        <v>429</v>
      </c>
      <c r="E122" s="19">
        <f>130+120+1+2</f>
        <v>253</v>
      </c>
      <c r="F122" s="19">
        <f>44+44</f>
        <v>88</v>
      </c>
      <c r="G122" s="16">
        <f t="shared" si="88"/>
        <v>341</v>
      </c>
      <c r="H122" s="19">
        <f>136+124+4</f>
        <v>264</v>
      </c>
      <c r="I122" s="19">
        <f>50+48</f>
        <v>98</v>
      </c>
      <c r="J122" s="19">
        <f t="shared" si="89"/>
        <v>362</v>
      </c>
      <c r="K122" s="19">
        <f>147+135+3</f>
        <v>285</v>
      </c>
      <c r="L122" s="19">
        <f>62+60+1</f>
        <v>123</v>
      </c>
      <c r="M122" s="16">
        <f t="shared" si="90"/>
        <v>408</v>
      </c>
      <c r="N122" s="19">
        <f>163+144</f>
        <v>307</v>
      </c>
      <c r="O122" s="19">
        <f>48+41+1</f>
        <v>90</v>
      </c>
      <c r="P122" s="16">
        <f t="shared" si="91"/>
        <v>397</v>
      </c>
      <c r="Q122" s="19">
        <f>120+111+1</f>
        <v>232</v>
      </c>
      <c r="R122" s="19">
        <f>55+53+1</f>
        <v>109</v>
      </c>
      <c r="S122" s="16">
        <f t="shared" si="92"/>
        <v>341</v>
      </c>
      <c r="T122" s="3">
        <f t="shared" si="93"/>
        <v>2278</v>
      </c>
    </row>
    <row r="123" spans="1:20" x14ac:dyDescent="0.3">
      <c r="A123" s="29" t="s">
        <v>52</v>
      </c>
      <c r="B123" s="19">
        <f>26-13+4</f>
        <v>17</v>
      </c>
      <c r="C123" s="19">
        <v>2</v>
      </c>
      <c r="D123" s="16">
        <f t="shared" si="87"/>
        <v>19</v>
      </c>
      <c r="E123" s="19">
        <v>3</v>
      </c>
      <c r="F123" s="19">
        <v>0</v>
      </c>
      <c r="G123" s="16">
        <f t="shared" si="88"/>
        <v>3</v>
      </c>
      <c r="H123" s="19">
        <v>0</v>
      </c>
      <c r="I123" s="19">
        <f>1-1</f>
        <v>0</v>
      </c>
      <c r="J123" s="19">
        <f t="shared" si="89"/>
        <v>0</v>
      </c>
      <c r="K123" s="19">
        <v>4</v>
      </c>
      <c r="L123" s="19">
        <v>1</v>
      </c>
      <c r="M123" s="16">
        <f t="shared" si="90"/>
        <v>5</v>
      </c>
      <c r="N123" s="19">
        <v>10</v>
      </c>
      <c r="O123" s="19">
        <v>0</v>
      </c>
      <c r="P123" s="16">
        <f t="shared" si="91"/>
        <v>10</v>
      </c>
      <c r="Q123" s="19">
        <f>4-1</f>
        <v>3</v>
      </c>
      <c r="R123" s="19">
        <v>1</v>
      </c>
      <c r="S123" s="16">
        <f t="shared" si="92"/>
        <v>4</v>
      </c>
      <c r="T123" s="3">
        <f t="shared" si="93"/>
        <v>41</v>
      </c>
    </row>
    <row r="124" spans="1:20" x14ac:dyDescent="0.3">
      <c r="A124" s="29" t="s">
        <v>30</v>
      </c>
      <c r="B124" s="19">
        <f>4540+13+52+12</f>
        <v>4617</v>
      </c>
      <c r="C124" s="19">
        <f>1641+34+35</f>
        <v>1710</v>
      </c>
      <c r="D124" s="16">
        <f t="shared" si="87"/>
        <v>6327</v>
      </c>
      <c r="E124" s="19">
        <f>4740+12+35+79</f>
        <v>4866</v>
      </c>
      <c r="F124" s="19">
        <v>1647</v>
      </c>
      <c r="G124" s="16">
        <f t="shared" si="88"/>
        <v>6513</v>
      </c>
      <c r="H124" s="19">
        <f>3848+35+12+12+12+35+12</f>
        <v>3966</v>
      </c>
      <c r="I124" s="19">
        <f>704+1</f>
        <v>705</v>
      </c>
      <c r="J124" s="19">
        <v>4552</v>
      </c>
      <c r="K124" s="19">
        <f>4016+35+35+12+12+12</f>
        <v>4122</v>
      </c>
      <c r="L124" s="19">
        <f>389+21</f>
        <v>410</v>
      </c>
      <c r="M124" s="16">
        <f t="shared" si="90"/>
        <v>4532</v>
      </c>
      <c r="N124" s="19">
        <f>4277+34</f>
        <v>4311</v>
      </c>
      <c r="O124" s="19">
        <f>962+27</f>
        <v>989</v>
      </c>
      <c r="P124" s="16">
        <f t="shared" si="91"/>
        <v>5300</v>
      </c>
      <c r="Q124" s="19">
        <f>3626+1+18+33+31</f>
        <v>3709</v>
      </c>
      <c r="R124" s="19">
        <f>1152+12</f>
        <v>1164</v>
      </c>
      <c r="S124" s="16">
        <f t="shared" si="92"/>
        <v>4873</v>
      </c>
      <c r="T124" s="3">
        <f t="shared" si="93"/>
        <v>32097</v>
      </c>
    </row>
    <row r="125" spans="1:20" x14ac:dyDescent="0.3">
      <c r="A125" s="30" t="s">
        <v>31</v>
      </c>
      <c r="B125" s="20">
        <f>SUM(B100:B124)</f>
        <v>11585</v>
      </c>
      <c r="C125" s="20">
        <f>SUM(C100:C124)</f>
        <v>4760</v>
      </c>
      <c r="D125" s="16">
        <f>B125+C125</f>
        <v>16345</v>
      </c>
      <c r="E125" s="20">
        <f>SUM(E100:E124)</f>
        <v>10745</v>
      </c>
      <c r="F125" s="20">
        <f>SUM(F100:F124)</f>
        <v>3745</v>
      </c>
      <c r="G125" s="15">
        <f>E125+F125</f>
        <v>14490</v>
      </c>
      <c r="H125" s="20">
        <f>SUM(H100:H124)</f>
        <v>10010</v>
      </c>
      <c r="I125" s="20">
        <f>SUM(I100:I124)</f>
        <v>2940</v>
      </c>
      <c r="J125" s="19">
        <f>H125+I125</f>
        <v>12950</v>
      </c>
      <c r="K125" s="19">
        <f>SUM(K100:K124)</f>
        <v>10675</v>
      </c>
      <c r="L125" s="19">
        <f>SUM(L100:L124)</f>
        <v>3220</v>
      </c>
      <c r="M125" s="15">
        <f>K125+L125</f>
        <v>13895</v>
      </c>
      <c r="N125" s="19">
        <f>SUM(N100:N124)</f>
        <v>11270</v>
      </c>
      <c r="O125" s="19">
        <f>SUM(O100:O124)</f>
        <v>3010</v>
      </c>
      <c r="P125" s="15">
        <f>N125+O125</f>
        <v>14280</v>
      </c>
      <c r="Q125" s="19">
        <f>SUM(Q100:Q124)</f>
        <v>9135</v>
      </c>
      <c r="R125" s="19">
        <f>SUM(R100:R124)</f>
        <v>3675</v>
      </c>
      <c r="S125" s="16">
        <f>Q125+R125</f>
        <v>12810</v>
      </c>
      <c r="T125" s="3">
        <f t="shared" si="93"/>
        <v>84770</v>
      </c>
    </row>
    <row r="126" spans="1:20" ht="9" customHeight="1" thickBot="1" x14ac:dyDescent="0.35">
      <c r="A126" s="41" t="s">
        <v>24</v>
      </c>
      <c r="B126" s="34" t="s">
        <v>24</v>
      </c>
      <c r="C126" s="34" t="s">
        <v>24</v>
      </c>
      <c r="D126" s="34" t="s">
        <v>24</v>
      </c>
      <c r="E126" s="34" t="s">
        <v>24</v>
      </c>
      <c r="F126" s="34" t="s">
        <v>24</v>
      </c>
      <c r="G126" s="34" t="s">
        <v>24</v>
      </c>
      <c r="H126" s="34" t="s">
        <v>24</v>
      </c>
      <c r="I126" s="34" t="s">
        <v>24</v>
      </c>
      <c r="J126" s="14"/>
      <c r="K126" s="34" t="s">
        <v>24</v>
      </c>
      <c r="L126" s="34" t="s">
        <v>24</v>
      </c>
      <c r="M126" s="34" t="s">
        <v>24</v>
      </c>
      <c r="N126" s="34" t="s">
        <v>24</v>
      </c>
      <c r="O126" s="34" t="s">
        <v>24</v>
      </c>
      <c r="P126" s="34" t="s">
        <v>24</v>
      </c>
      <c r="Q126" s="34" t="s">
        <v>24</v>
      </c>
      <c r="R126" s="34" t="s">
        <v>24</v>
      </c>
      <c r="S126" s="34" t="s">
        <v>24</v>
      </c>
      <c r="T126" s="42" t="s">
        <v>24</v>
      </c>
    </row>
    <row r="127" spans="1:20" x14ac:dyDescent="0.3">
      <c r="P127" s="1" t="s">
        <v>24</v>
      </c>
    </row>
    <row r="128" spans="1:20" ht="19.5" thickBot="1" x14ac:dyDescent="0.35"/>
    <row r="129" spans="1:28" x14ac:dyDescent="0.3">
      <c r="A129" s="44" t="s">
        <v>91</v>
      </c>
      <c r="B129" s="45"/>
      <c r="C129" s="46"/>
      <c r="D129" s="47" t="s">
        <v>92</v>
      </c>
      <c r="E129" s="46"/>
      <c r="F129" s="48"/>
      <c r="G129" s="49" t="s">
        <v>93</v>
      </c>
      <c r="H129" s="46"/>
      <c r="I129" s="48"/>
      <c r="J129" s="49" t="s">
        <v>94</v>
      </c>
      <c r="K129" s="46"/>
      <c r="L129" s="48"/>
      <c r="M129" s="47" t="s">
        <v>95</v>
      </c>
      <c r="N129" s="45"/>
      <c r="O129" s="46"/>
      <c r="P129" s="47" t="s">
        <v>96</v>
      </c>
      <c r="Q129" s="45"/>
      <c r="R129" s="46"/>
      <c r="S129" s="47" t="s">
        <v>97</v>
      </c>
      <c r="T129" s="50" t="s">
        <v>22</v>
      </c>
    </row>
    <row r="130" spans="1:28" x14ac:dyDescent="0.3">
      <c r="A130" s="51" t="s">
        <v>98</v>
      </c>
      <c r="B130" s="14"/>
      <c r="C130" s="14"/>
      <c r="D130" s="16"/>
      <c r="E130" s="14"/>
      <c r="F130" s="14"/>
      <c r="G130" s="16"/>
      <c r="H130" s="14"/>
      <c r="I130" s="14"/>
      <c r="J130" s="19"/>
      <c r="K130" s="14"/>
      <c r="L130" s="14"/>
      <c r="M130" s="16"/>
      <c r="N130" s="14"/>
      <c r="O130" s="14"/>
      <c r="P130" s="16"/>
      <c r="Q130" s="14"/>
      <c r="R130" s="14"/>
      <c r="S130" s="16"/>
      <c r="T130" s="8">
        <f>SUM(B130:R130)</f>
        <v>0</v>
      </c>
    </row>
    <row r="131" spans="1:28" ht="19.5" thickBot="1" x14ac:dyDescent="0.35">
      <c r="A131" s="52" t="s">
        <v>99</v>
      </c>
      <c r="B131" s="34"/>
      <c r="C131" s="34"/>
      <c r="D131" s="22"/>
      <c r="E131" s="34"/>
      <c r="F131" s="34"/>
      <c r="G131" s="22"/>
      <c r="H131" s="34"/>
      <c r="I131" s="34"/>
      <c r="J131" s="21"/>
      <c r="K131" s="34"/>
      <c r="L131" s="34"/>
      <c r="M131" s="22"/>
      <c r="N131" s="34"/>
      <c r="O131" s="34"/>
      <c r="P131" s="22"/>
      <c r="Q131" s="34"/>
      <c r="R131" s="34"/>
      <c r="S131" s="22"/>
      <c r="T131" s="53">
        <f>SUM(B131:R131)</f>
        <v>0</v>
      </c>
    </row>
    <row r="132" spans="1:28" ht="19.5" thickBot="1" x14ac:dyDescent="0.35">
      <c r="T132" s="5"/>
    </row>
    <row r="133" spans="1:28" x14ac:dyDescent="0.3">
      <c r="A133" s="44" t="s">
        <v>100</v>
      </c>
      <c r="B133" s="54"/>
      <c r="C133" s="54"/>
      <c r="D133" s="47" t="s">
        <v>92</v>
      </c>
      <c r="E133" s="54"/>
      <c r="F133" s="54"/>
      <c r="G133" s="49" t="s">
        <v>93</v>
      </c>
      <c r="H133" s="54"/>
      <c r="I133" s="54"/>
      <c r="J133" s="49" t="s">
        <v>94</v>
      </c>
      <c r="K133" s="54"/>
      <c r="L133" s="54"/>
      <c r="M133" s="47" t="s">
        <v>95</v>
      </c>
      <c r="N133" s="54"/>
      <c r="O133" s="54"/>
      <c r="P133" s="47" t="s">
        <v>96</v>
      </c>
      <c r="Q133" s="54"/>
      <c r="R133" s="54"/>
      <c r="S133" s="47" t="s">
        <v>97</v>
      </c>
      <c r="T133" s="50" t="s">
        <v>22</v>
      </c>
    </row>
    <row r="134" spans="1:28" ht="19.5" thickBot="1" x14ac:dyDescent="0.35">
      <c r="A134" s="55"/>
      <c r="B134" s="34"/>
      <c r="C134" s="34"/>
      <c r="D134" s="21" t="s">
        <v>24</v>
      </c>
      <c r="E134" s="34"/>
      <c r="F134" s="34"/>
      <c r="G134" s="22" t="s">
        <v>24</v>
      </c>
      <c r="H134" s="34"/>
      <c r="I134" s="34"/>
      <c r="J134" s="21" t="s">
        <v>24</v>
      </c>
      <c r="K134" s="34"/>
      <c r="L134" s="34"/>
      <c r="M134" s="22" t="s">
        <v>24</v>
      </c>
      <c r="N134" s="34"/>
      <c r="O134" s="34"/>
      <c r="P134" s="22" t="s">
        <v>24</v>
      </c>
      <c r="Q134" s="34"/>
      <c r="R134" s="34"/>
      <c r="S134" s="22" t="s">
        <v>24</v>
      </c>
      <c r="T134" s="53">
        <f>SUM(C134:R134)</f>
        <v>0</v>
      </c>
    </row>
    <row r="135" spans="1:28" ht="19.5" thickBot="1" x14ac:dyDescent="0.35">
      <c r="T135" s="5"/>
    </row>
    <row r="136" spans="1:28" x14ac:dyDescent="0.3">
      <c r="A136" s="44" t="s">
        <v>101</v>
      </c>
      <c r="B136" s="45"/>
      <c r="C136" s="46"/>
      <c r="D136" s="47" t="s">
        <v>92</v>
      </c>
      <c r="E136" s="46"/>
      <c r="F136" s="48"/>
      <c r="G136" s="49" t="s">
        <v>93</v>
      </c>
      <c r="H136" s="46"/>
      <c r="I136" s="48"/>
      <c r="J136" s="49" t="s">
        <v>94</v>
      </c>
      <c r="K136" s="46"/>
      <c r="L136" s="48"/>
      <c r="M136" s="47" t="s">
        <v>95</v>
      </c>
      <c r="N136" s="45"/>
      <c r="O136" s="46"/>
      <c r="P136" s="47" t="s">
        <v>96</v>
      </c>
      <c r="Q136" s="45"/>
      <c r="R136" s="46"/>
      <c r="S136" s="47" t="s">
        <v>97</v>
      </c>
      <c r="T136" s="50" t="s">
        <v>22</v>
      </c>
      <c r="V136" s="11"/>
      <c r="AA136" s="11"/>
      <c r="AB136" s="11"/>
    </row>
    <row r="137" spans="1:28" x14ac:dyDescent="0.3">
      <c r="A137" s="51" t="s">
        <v>102</v>
      </c>
      <c r="B137" s="13" t="s">
        <v>24</v>
      </c>
      <c r="C137" s="13"/>
      <c r="D137" s="43" t="s">
        <v>24</v>
      </c>
      <c r="E137" s="13"/>
      <c r="F137" s="13"/>
      <c r="G137" s="56" t="s">
        <v>24</v>
      </c>
      <c r="H137" s="13"/>
      <c r="I137" s="13"/>
      <c r="J137" s="56" t="s">
        <v>24</v>
      </c>
      <c r="K137" s="13"/>
      <c r="L137" s="13"/>
      <c r="M137" s="43" t="s">
        <v>24</v>
      </c>
      <c r="N137" s="13" t="s">
        <v>24</v>
      </c>
      <c r="O137" s="13"/>
      <c r="P137" s="43" t="s">
        <v>24</v>
      </c>
      <c r="Q137" s="13" t="s">
        <v>24</v>
      </c>
      <c r="R137" s="13"/>
      <c r="S137" s="43" t="s">
        <v>24</v>
      </c>
      <c r="T137" s="57">
        <f ca="1">SUM(D137:V137)</f>
        <v>0</v>
      </c>
      <c r="V137" s="11" t="s">
        <v>24</v>
      </c>
      <c r="AA137" s="11"/>
      <c r="AB137" s="11"/>
    </row>
    <row r="138" spans="1:28" ht="19.5" thickBot="1" x14ac:dyDescent="0.35">
      <c r="A138" s="52" t="s">
        <v>103</v>
      </c>
      <c r="B138" s="58" t="s">
        <v>24</v>
      </c>
      <c r="C138" s="58"/>
      <c r="D138" s="59" t="s">
        <v>24</v>
      </c>
      <c r="E138" s="58"/>
      <c r="F138" s="58"/>
      <c r="G138" s="60" t="s">
        <v>24</v>
      </c>
      <c r="H138" s="58"/>
      <c r="I138" s="58"/>
      <c r="J138" s="60" t="s">
        <v>24</v>
      </c>
      <c r="K138" s="58"/>
      <c r="L138" s="58"/>
      <c r="M138" s="60" t="s">
        <v>24</v>
      </c>
      <c r="N138" s="58" t="s">
        <v>24</v>
      </c>
      <c r="O138" s="58"/>
      <c r="P138" s="60" t="s">
        <v>24</v>
      </c>
      <c r="Q138" s="58" t="s">
        <v>24</v>
      </c>
      <c r="R138" s="58"/>
      <c r="S138" s="60" t="s">
        <v>24</v>
      </c>
      <c r="T138" s="61">
        <f ca="1">SUM(D138:V138)</f>
        <v>0</v>
      </c>
      <c r="V138" s="12" t="s">
        <v>24</v>
      </c>
      <c r="AA138" s="11"/>
      <c r="AB138" s="11"/>
    </row>
    <row r="139" spans="1:28" ht="19.5" thickBot="1" x14ac:dyDescent="0.35">
      <c r="T139" s="5"/>
    </row>
    <row r="140" spans="1:28" x14ac:dyDescent="0.3">
      <c r="A140" s="44" t="s">
        <v>104</v>
      </c>
      <c r="B140" s="45"/>
      <c r="C140" s="46"/>
      <c r="D140" s="47" t="s">
        <v>92</v>
      </c>
      <c r="E140" s="46"/>
      <c r="F140" s="48"/>
      <c r="G140" s="49" t="s">
        <v>93</v>
      </c>
      <c r="H140" s="46"/>
      <c r="I140" s="48"/>
      <c r="J140" s="49" t="s">
        <v>94</v>
      </c>
      <c r="K140" s="46"/>
      <c r="L140" s="48"/>
      <c r="M140" s="47" t="s">
        <v>95</v>
      </c>
      <c r="N140" s="45"/>
      <c r="O140" s="46"/>
      <c r="P140" s="47" t="s">
        <v>96</v>
      </c>
      <c r="Q140" s="45"/>
      <c r="R140" s="46"/>
      <c r="S140" s="47" t="s">
        <v>97</v>
      </c>
      <c r="T140" s="50" t="s">
        <v>22</v>
      </c>
    </row>
    <row r="141" spans="1:28" ht="19.5" thickBot="1" x14ac:dyDescent="0.35">
      <c r="A141" s="52" t="s">
        <v>102</v>
      </c>
      <c r="B141" s="58" t="s">
        <v>24</v>
      </c>
      <c r="C141" s="58"/>
      <c r="D141" s="59" t="s">
        <v>24</v>
      </c>
      <c r="E141" s="58"/>
      <c r="F141" s="58"/>
      <c r="G141" s="60" t="s">
        <v>24</v>
      </c>
      <c r="H141" s="58"/>
      <c r="I141" s="58"/>
      <c r="J141" s="60" t="s">
        <v>24</v>
      </c>
      <c r="K141" s="58"/>
      <c r="L141" s="58"/>
      <c r="M141" s="59" t="s">
        <v>24</v>
      </c>
      <c r="N141" s="58" t="s">
        <v>24</v>
      </c>
      <c r="O141" s="58"/>
      <c r="P141" s="59" t="s">
        <v>24</v>
      </c>
      <c r="Q141" s="58" t="s">
        <v>24</v>
      </c>
      <c r="R141" s="58"/>
      <c r="S141" s="59" t="s">
        <v>24</v>
      </c>
      <c r="T141" s="61">
        <f ca="1">SUM(D141:V141)</f>
        <v>0</v>
      </c>
    </row>
    <row r="145" spans="1:2" x14ac:dyDescent="0.3">
      <c r="A145" s="1" t="s">
        <v>105</v>
      </c>
      <c r="B145" s="4">
        <v>1893</v>
      </c>
    </row>
    <row r="146" spans="1:2" x14ac:dyDescent="0.3">
      <c r="A146" s="1" t="s">
        <v>106</v>
      </c>
      <c r="B146" s="4">
        <v>29</v>
      </c>
    </row>
    <row r="147" spans="1:2" x14ac:dyDescent="0.3">
      <c r="A147" s="1" t="s">
        <v>107</v>
      </c>
      <c r="B147" s="4">
        <v>2422</v>
      </c>
    </row>
    <row r="148" spans="1:2" x14ac:dyDescent="0.3">
      <c r="A148" s="1" t="s">
        <v>108</v>
      </c>
      <c r="B148" s="4">
        <f>SUM(B145:B147)</f>
        <v>4344</v>
      </c>
    </row>
    <row r="150" spans="1:2" x14ac:dyDescent="0.3">
      <c r="A150" s="1" t="s">
        <v>109</v>
      </c>
      <c r="B150" s="4">
        <f>4344/13020</f>
        <v>0.33364055299539169</v>
      </c>
    </row>
    <row r="155" spans="1:2" x14ac:dyDescent="0.3">
      <c r="A155" s="1" t="s">
        <v>92</v>
      </c>
      <c r="B155" s="4">
        <f>369+5+467</f>
        <v>841</v>
      </c>
    </row>
    <row r="156" spans="1:2" x14ac:dyDescent="0.3">
      <c r="A156" s="1" t="s">
        <v>93</v>
      </c>
      <c r="B156" s="4">
        <f>288+2+414</f>
        <v>704</v>
      </c>
    </row>
    <row r="157" spans="1:2" x14ac:dyDescent="0.3">
      <c r="A157" s="1" t="s">
        <v>94</v>
      </c>
      <c r="B157" s="4">
        <f>326+5+370</f>
        <v>701</v>
      </c>
    </row>
    <row r="158" spans="1:2" x14ac:dyDescent="0.3">
      <c r="A158" s="1" t="s">
        <v>95</v>
      </c>
      <c r="B158" s="4">
        <f>276+4+397</f>
        <v>677</v>
      </c>
    </row>
    <row r="159" spans="1:2" x14ac:dyDescent="0.3">
      <c r="A159" s="1" t="s">
        <v>96</v>
      </c>
      <c r="B159" s="4">
        <f>318+4+408</f>
        <v>730</v>
      </c>
    </row>
    <row r="160" spans="1:2" x14ac:dyDescent="0.3">
      <c r="A160" s="1" t="s">
        <v>97</v>
      </c>
      <c r="B160" s="4">
        <f>316+9+366</f>
        <v>691</v>
      </c>
    </row>
  </sheetData>
  <mergeCells count="5">
    <mergeCell ref="A1:T1"/>
    <mergeCell ref="A2:T2"/>
    <mergeCell ref="A4:T4"/>
    <mergeCell ref="A5:T5"/>
    <mergeCell ref="A3:T3"/>
  </mergeCells>
  <printOptions horizontalCentered="1"/>
  <pageMargins left="0.25" right="0.25" top="0.25" bottom="0.25" header="0.3" footer="0.3"/>
  <pageSetup scale="85" fitToHeight="0" orientation="portrait" r:id="rId1"/>
  <rowBreaks count="2" manualBreakCount="2">
    <brk id="41" max="16383" man="1"/>
    <brk id="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Kelley</dc:creator>
  <cp:keywords/>
  <dc:description/>
  <cp:lastModifiedBy>Susan Kelley</cp:lastModifiedBy>
  <cp:revision/>
  <cp:lastPrinted>2024-03-08T23:56:39Z</cp:lastPrinted>
  <dcterms:created xsi:type="dcterms:W3CDTF">2019-06-11T13:19:11Z</dcterms:created>
  <dcterms:modified xsi:type="dcterms:W3CDTF">2024-03-14T15:30:20Z</dcterms:modified>
  <cp:category/>
  <cp:contentStatus/>
</cp:coreProperties>
</file>